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315"/>
  <workbookPr hidePivotFieldList="1" autoCompressPictures="0"/>
  <mc:AlternateContent xmlns:mc="http://schemas.openxmlformats.org/markup-compatibility/2006">
    <mc:Choice Requires="x15">
      <x15ac:absPath xmlns:x15ac="http://schemas.microsoft.com/office/spreadsheetml/2010/11/ac" url="/Users/meredith/Dropbox/website_files/"/>
    </mc:Choice>
  </mc:AlternateContent>
  <bookViews>
    <workbookView xWindow="0" yWindow="0" windowWidth="25600" windowHeight="16000"/>
  </bookViews>
  <sheets>
    <sheet name="Readme" sheetId="6" r:id="rId1"/>
    <sheet name="Inputs" sheetId="4" r:id="rId2"/>
    <sheet name="Results" sheetId="1" r:id="rId3"/>
    <sheet name="Graph" sheetId="2" r:id="rId4"/>
  </sheets>
  <definedNames>
    <definedName name="_xlnm._FilterDatabase" localSheetId="3" hidden="1">Results!#REF!</definedName>
    <definedName name="Com_Light_Costs">Results!$A$48:$B$54</definedName>
    <definedName name="Convert_2008_to_2012_dollars">Inputs!$B$9</definedName>
    <definedName name="Convert_2013_to_2012_dollars">Inputs!$B$8</definedName>
    <definedName name="efficiency_equipment_life">Inputs!$B$26</definedName>
    <definedName name="efficiency_realization_rate">Inputs!$B$25</definedName>
    <definedName name="fourth_inverter">Inputs!$B$20</definedName>
    <definedName name="inverter_cost">Inputs!$B$21</definedName>
    <definedName name="inverter_cost_decline_rate">Inputs!$B$22</definedName>
    <definedName name="inverter_replacement_rate">Inputs!$B$17</definedName>
    <definedName name="Line_losses">Inputs!$B$24</definedName>
    <definedName name="pounds_per_ton">Inputs!$B$7</definedName>
    <definedName name="Production_tax_credit">Inputs!$B$12</definedName>
    <definedName name="PV_degradation_rate">Inputs!$B$15</definedName>
    <definedName name="PV_panel_cost">Inputs!$B$14</definedName>
    <definedName name="PV_project_life">Inputs!$B$16</definedName>
    <definedName name="real_discount_rate">Inputs!$B$4</definedName>
    <definedName name="Res_Light_Costs">Results!$A$39:$B$45</definedName>
    <definedName name="second_inverter">Inputs!$B$18</definedName>
    <definedName name="social_cost_of_carbon">Inputs!$B$5</definedName>
    <definedName name="Solar_Costs">Results!$A$30:$E$36</definedName>
    <definedName name="third_inverter">Inputs!$B$19</definedName>
    <definedName name="W_per_MW">Inputs!$B$10</definedName>
    <definedName name="Wind_Costs">Results!$A$57:$B$62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72" i="1" l="1"/>
  <c r="D72" i="1"/>
  <c r="E72" i="1"/>
  <c r="A73" i="1"/>
  <c r="D73" i="1"/>
  <c r="E73" i="1"/>
  <c r="A74" i="1"/>
  <c r="D74" i="1"/>
  <c r="E74" i="1"/>
  <c r="A75" i="1"/>
  <c r="D75" i="1"/>
  <c r="E75" i="1"/>
  <c r="A76" i="1"/>
  <c r="D76" i="1"/>
  <c r="E76" i="1"/>
  <c r="A77" i="1"/>
  <c r="D77" i="1"/>
  <c r="E77" i="1"/>
  <c r="A78" i="1"/>
  <c r="D78" i="1"/>
  <c r="E78" i="1"/>
  <c r="A79" i="1"/>
  <c r="D79" i="1"/>
  <c r="E79" i="1"/>
  <c r="A80" i="1"/>
  <c r="D80" i="1"/>
  <c r="E80" i="1"/>
  <c r="A81" i="1"/>
  <c r="D81" i="1"/>
  <c r="E81" i="1"/>
  <c r="A82" i="1"/>
  <c r="C82" i="1"/>
  <c r="D82" i="1"/>
  <c r="E82" i="1"/>
  <c r="A83" i="1"/>
  <c r="D83" i="1"/>
  <c r="E83" i="1"/>
  <c r="A84" i="1"/>
  <c r="D84" i="1"/>
  <c r="E84" i="1"/>
  <c r="A85" i="1"/>
  <c r="D85" i="1"/>
  <c r="E85" i="1"/>
  <c r="A86" i="1"/>
  <c r="D86" i="1"/>
  <c r="E86" i="1"/>
  <c r="A87" i="1"/>
  <c r="D87" i="1"/>
  <c r="E87" i="1"/>
  <c r="A88" i="1"/>
  <c r="D88" i="1"/>
  <c r="E88" i="1"/>
  <c r="A89" i="1"/>
  <c r="D89" i="1"/>
  <c r="E89" i="1"/>
  <c r="A90" i="1"/>
  <c r="D90" i="1"/>
  <c r="E90" i="1"/>
  <c r="A91" i="1"/>
  <c r="D91" i="1"/>
  <c r="E91" i="1"/>
  <c r="A92" i="1"/>
  <c r="C92" i="1"/>
  <c r="D92" i="1"/>
  <c r="E92" i="1"/>
  <c r="A93" i="1"/>
  <c r="D93" i="1"/>
  <c r="E93" i="1"/>
  <c r="A94" i="1"/>
  <c r="D94" i="1"/>
  <c r="E94" i="1"/>
  <c r="A95" i="1"/>
  <c r="D95" i="1"/>
  <c r="E95" i="1"/>
  <c r="A96" i="1"/>
  <c r="D96" i="1"/>
  <c r="E96" i="1"/>
  <c r="A97" i="1"/>
  <c r="D97" i="1"/>
  <c r="E97" i="1"/>
  <c r="A98" i="1"/>
  <c r="D98" i="1"/>
  <c r="E98" i="1"/>
  <c r="A99" i="1"/>
  <c r="D99" i="1"/>
  <c r="E99" i="1"/>
  <c r="A100" i="1"/>
  <c r="D100" i="1"/>
  <c r="E100" i="1"/>
  <c r="A101" i="1"/>
  <c r="D101" i="1"/>
  <c r="E101" i="1"/>
  <c r="C32" i="1"/>
  <c r="G72" i="1"/>
  <c r="H72" i="1"/>
  <c r="F73" i="1"/>
  <c r="G73" i="1"/>
  <c r="H73" i="1"/>
  <c r="F74" i="1"/>
  <c r="G74" i="1"/>
  <c r="H74" i="1"/>
  <c r="F75" i="1"/>
  <c r="G75" i="1"/>
  <c r="H75" i="1"/>
  <c r="F76" i="1"/>
  <c r="G76" i="1"/>
  <c r="H76" i="1"/>
  <c r="F77" i="1"/>
  <c r="G77" i="1"/>
  <c r="H77" i="1"/>
  <c r="F78" i="1"/>
  <c r="G78" i="1"/>
  <c r="H78" i="1"/>
  <c r="F79" i="1"/>
  <c r="G79" i="1"/>
  <c r="H79" i="1"/>
  <c r="F80" i="1"/>
  <c r="G80" i="1"/>
  <c r="H80" i="1"/>
  <c r="F81" i="1"/>
  <c r="G81" i="1"/>
  <c r="H81" i="1"/>
  <c r="F82" i="1"/>
  <c r="G82" i="1"/>
  <c r="H82" i="1"/>
  <c r="F83" i="1"/>
  <c r="G83" i="1"/>
  <c r="H83" i="1"/>
  <c r="F84" i="1"/>
  <c r="G84" i="1"/>
  <c r="H84" i="1"/>
  <c r="F85" i="1"/>
  <c r="G85" i="1"/>
  <c r="H85" i="1"/>
  <c r="F86" i="1"/>
  <c r="G86" i="1"/>
  <c r="H86" i="1"/>
  <c r="F87" i="1"/>
  <c r="G87" i="1"/>
  <c r="H87" i="1"/>
  <c r="F88" i="1"/>
  <c r="G88" i="1"/>
  <c r="H88" i="1"/>
  <c r="F89" i="1"/>
  <c r="G89" i="1"/>
  <c r="H89" i="1"/>
  <c r="F90" i="1"/>
  <c r="G90" i="1"/>
  <c r="H90" i="1"/>
  <c r="F91" i="1"/>
  <c r="G91" i="1"/>
  <c r="H91" i="1"/>
  <c r="F92" i="1"/>
  <c r="G92" i="1"/>
  <c r="H92" i="1"/>
  <c r="F93" i="1"/>
  <c r="G93" i="1"/>
  <c r="H93" i="1"/>
  <c r="F94" i="1"/>
  <c r="G94" i="1"/>
  <c r="H94" i="1"/>
  <c r="F95" i="1"/>
  <c r="G95" i="1"/>
  <c r="H95" i="1"/>
  <c r="F96" i="1"/>
  <c r="G96" i="1"/>
  <c r="H96" i="1"/>
  <c r="F97" i="1"/>
  <c r="G97" i="1"/>
  <c r="H97" i="1"/>
  <c r="F98" i="1"/>
  <c r="G98" i="1"/>
  <c r="H98" i="1"/>
  <c r="F99" i="1"/>
  <c r="G99" i="1"/>
  <c r="H99" i="1"/>
  <c r="F100" i="1"/>
  <c r="G100" i="1"/>
  <c r="H100" i="1"/>
  <c r="F101" i="1"/>
  <c r="G101" i="1"/>
  <c r="H101" i="1"/>
  <c r="D31" i="1"/>
  <c r="B32" i="1"/>
  <c r="E32" i="1"/>
  <c r="C8" i="1"/>
  <c r="E8" i="1"/>
  <c r="D8" i="1"/>
  <c r="F8" i="1"/>
  <c r="G8" i="1"/>
  <c r="B28" i="2"/>
  <c r="C40" i="1"/>
  <c r="B54" i="1"/>
  <c r="C23" i="1"/>
  <c r="E23" i="1"/>
  <c r="B24" i="4"/>
  <c r="D23" i="1"/>
  <c r="F23" i="1"/>
  <c r="G23" i="1"/>
  <c r="E27" i="2"/>
  <c r="B45" i="1"/>
  <c r="C25" i="1"/>
  <c r="E25" i="1"/>
  <c r="D25" i="1"/>
  <c r="F25" i="1"/>
  <c r="G25" i="1"/>
  <c r="D27" i="2"/>
  <c r="B35" i="4"/>
  <c r="B62" i="1"/>
  <c r="C26" i="1"/>
  <c r="E26" i="1"/>
  <c r="D26" i="1"/>
  <c r="F26" i="1"/>
  <c r="G26" i="1"/>
  <c r="C27" i="2"/>
  <c r="C36" i="1"/>
  <c r="B36" i="1"/>
  <c r="E36" i="1"/>
  <c r="C24" i="1"/>
  <c r="E24" i="1"/>
  <c r="D24" i="1"/>
  <c r="F24" i="1"/>
  <c r="G24" i="1"/>
  <c r="B27" i="2"/>
  <c r="B51" i="1"/>
  <c r="C11" i="1"/>
  <c r="E11" i="1"/>
  <c r="D11" i="1"/>
  <c r="F11" i="1"/>
  <c r="G11" i="1"/>
  <c r="E26" i="2"/>
  <c r="B42" i="1"/>
  <c r="C13" i="1"/>
  <c r="E13" i="1"/>
  <c r="D13" i="1"/>
  <c r="F13" i="1"/>
  <c r="G13" i="1"/>
  <c r="D26" i="2"/>
  <c r="B32" i="4"/>
  <c r="B59" i="1"/>
  <c r="C14" i="1"/>
  <c r="E14" i="1"/>
  <c r="D14" i="1"/>
  <c r="F14" i="1"/>
  <c r="G14" i="1"/>
  <c r="C26" i="2"/>
  <c r="C33" i="1"/>
  <c r="B33" i="1"/>
  <c r="E33" i="1"/>
  <c r="C12" i="1"/>
  <c r="E12" i="1"/>
  <c r="D12" i="1"/>
  <c r="F12" i="1"/>
  <c r="G12" i="1"/>
  <c r="B26" i="2"/>
  <c r="B49" i="1"/>
  <c r="C3" i="1"/>
  <c r="E3" i="1"/>
  <c r="D3" i="1"/>
  <c r="F3" i="1"/>
  <c r="G3" i="1"/>
  <c r="E25" i="2"/>
  <c r="B40" i="1"/>
  <c r="C5" i="1"/>
  <c r="E5" i="1"/>
  <c r="D5" i="1"/>
  <c r="F5" i="1"/>
  <c r="G5" i="1"/>
  <c r="D25" i="2"/>
  <c r="B30" i="4"/>
  <c r="B57" i="1"/>
  <c r="C6" i="1"/>
  <c r="E6" i="1"/>
  <c r="D6" i="1"/>
  <c r="F6" i="1"/>
  <c r="G6" i="1"/>
  <c r="C25" i="2"/>
  <c r="C31" i="1"/>
  <c r="B31" i="1"/>
  <c r="E31" i="1"/>
  <c r="C4" i="1"/>
  <c r="E4" i="1"/>
  <c r="D4" i="1"/>
  <c r="F4" i="1"/>
  <c r="G4" i="1"/>
  <c r="B25" i="2"/>
  <c r="B35" i="1"/>
  <c r="B34" i="1"/>
  <c r="E7" i="1"/>
  <c r="E9" i="1"/>
  <c r="E10" i="1"/>
  <c r="E15" i="1"/>
  <c r="E16" i="1"/>
  <c r="E17" i="1"/>
  <c r="E18" i="1"/>
  <c r="E19" i="1"/>
  <c r="E20" i="1"/>
  <c r="E21" i="1"/>
  <c r="E22" i="1"/>
  <c r="D21" i="1"/>
  <c r="D19" i="1"/>
  <c r="D17" i="1"/>
  <c r="D15" i="1"/>
  <c r="D9" i="1"/>
  <c r="D7" i="1"/>
  <c r="F22" i="1"/>
  <c r="F21" i="1"/>
  <c r="F20" i="1"/>
  <c r="F19" i="1"/>
  <c r="F18" i="1"/>
  <c r="F17" i="1"/>
  <c r="F16" i="1"/>
  <c r="F15" i="1"/>
  <c r="F10" i="1"/>
  <c r="F9" i="1"/>
  <c r="F7" i="1"/>
  <c r="B50" i="1"/>
  <c r="B52" i="1"/>
  <c r="B53" i="1"/>
  <c r="B41" i="1"/>
  <c r="B43" i="1"/>
  <c r="B44" i="1"/>
  <c r="C15" i="1"/>
  <c r="G15" i="1"/>
  <c r="E29" i="2"/>
  <c r="C9" i="1"/>
  <c r="G9" i="1"/>
  <c r="D28" i="2"/>
  <c r="C21" i="1"/>
  <c r="G21" i="1"/>
  <c r="D24" i="2"/>
  <c r="C35" i="1"/>
  <c r="E35" i="1"/>
  <c r="C20" i="1"/>
  <c r="C34" i="1"/>
  <c r="E34" i="1"/>
  <c r="C16" i="1"/>
  <c r="B34" i="4"/>
  <c r="B31" i="4"/>
  <c r="B58" i="1"/>
  <c r="B33" i="4"/>
  <c r="B60" i="1"/>
  <c r="B61" i="1"/>
  <c r="C7" i="1"/>
  <c r="G7" i="1"/>
  <c r="E28" i="2"/>
  <c r="C17" i="1"/>
  <c r="G17" i="1"/>
  <c r="D29" i="2"/>
  <c r="C18" i="1"/>
  <c r="D18" i="1"/>
  <c r="G18" i="1"/>
  <c r="C29" i="2"/>
  <c r="C10" i="1"/>
  <c r="D10" i="1"/>
  <c r="G10" i="1"/>
  <c r="C28" i="2"/>
  <c r="D16" i="1"/>
  <c r="G16" i="1"/>
  <c r="B29" i="2"/>
  <c r="C19" i="1"/>
  <c r="G19" i="1"/>
  <c r="E24" i="2"/>
  <c r="C22" i="1"/>
  <c r="D22" i="1"/>
  <c r="G22" i="1"/>
  <c r="C24" i="2"/>
  <c r="D20" i="1"/>
  <c r="G20" i="1"/>
  <c r="B24" i="2"/>
  <c r="D40" i="4"/>
  <c r="D39" i="4"/>
</calcChain>
</file>

<file path=xl/sharedStrings.xml><?xml version="1.0" encoding="utf-8"?>
<sst xmlns="http://schemas.openxmlformats.org/spreadsheetml/2006/main" count="371" uniqueCount="126">
  <si>
    <t>region</t>
  </si>
  <si>
    <t>MEDRmean</t>
  </si>
  <si>
    <t>fuelsavingsperMWhmean</t>
  </si>
  <si>
    <t>MACmean</t>
  </si>
  <si>
    <t>California</t>
  </si>
  <si>
    <t>ComLight</t>
  </si>
  <si>
    <t>PV</t>
  </si>
  <si>
    <t>ResLight</t>
  </si>
  <si>
    <t>Wind</t>
  </si>
  <si>
    <t>ERCOT</t>
  </si>
  <si>
    <t>ISONE</t>
  </si>
  <si>
    <t>MISO</t>
  </si>
  <si>
    <t>NYISO</t>
  </si>
  <si>
    <t>PJM</t>
  </si>
  <si>
    <t>$/MWh</t>
  </si>
  <si>
    <t>lbs/MWh</t>
  </si>
  <si>
    <t>$/ton</t>
  </si>
  <si>
    <t>technology</t>
  </si>
  <si>
    <t>Levelized Cost ($/MWh)</t>
  </si>
  <si>
    <t>Residential lighting</t>
  </si>
  <si>
    <t>Commercial lighting</t>
  </si>
  <si>
    <t>Capacity Value</t>
  </si>
  <si>
    <t>Efficiency % realized</t>
  </si>
  <si>
    <t>Real discount rate</t>
  </si>
  <si>
    <t>Panel degradation</t>
  </si>
  <si>
    <t>Project life</t>
  </si>
  <si>
    <t>per year</t>
  </si>
  <si>
    <t>years</t>
  </si>
  <si>
    <t>Inverter replaced every</t>
  </si>
  <si>
    <t>Inverter cost</t>
  </si>
  <si>
    <t>per W</t>
  </si>
  <si>
    <t>Wind assumptions</t>
  </si>
  <si>
    <t>Efficiency assumptions</t>
  </si>
  <si>
    <t>Unit</t>
  </si>
  <si>
    <t>$/W</t>
  </si>
  <si>
    <t>Assumptions</t>
  </si>
  <si>
    <t>Baseline Energy</t>
  </si>
  <si>
    <t>Baseline Cost</t>
  </si>
  <si>
    <t>New Cost</t>
  </si>
  <si>
    <t>kWh/year</t>
  </si>
  <si>
    <t>Units</t>
  </si>
  <si>
    <t>Equipment lifetime</t>
  </si>
  <si>
    <t>Residential</t>
  </si>
  <si>
    <t>Commercial</t>
  </si>
  <si>
    <t>Energy saved/yr</t>
  </si>
  <si>
    <t>New Energy</t>
  </si>
  <si>
    <t>NPV multiplier</t>
  </si>
  <si>
    <t>cap credit</t>
  </si>
  <si>
    <t>cap factor</t>
  </si>
  <si>
    <t>Solar</t>
  </si>
  <si>
    <t>Res Light</t>
  </si>
  <si>
    <t>Com Light</t>
  </si>
  <si>
    <t>Wind Levelized Costs from Power Purchase Agreements (source: Wiser et al, 2014)</t>
  </si>
  <si>
    <t>Energy Efficiency Levelized Cost Calculations, General Service Flourescent Lamps (source: DOE 2009)</t>
  </si>
  <si>
    <t>Capacity Value (sources: Brooks and Gannon, 2013; Potomac Economics, 2013; Black and Veacth, 2012; ISONE, NYISO PJM capacity auction data)</t>
  </si>
  <si>
    <t>PV assumptions</t>
  </si>
  <si>
    <t>Social cost of carbon</t>
  </si>
  <si>
    <t>Value</t>
  </si>
  <si>
    <t>Variable</t>
  </si>
  <si>
    <t>General</t>
  </si>
  <si>
    <t>LCOE</t>
  </si>
  <si>
    <t>Pounds per ton</t>
  </si>
  <si>
    <t>tons/MWh</t>
  </si>
  <si>
    <t>State</t>
  </si>
  <si>
    <t>Capacity Prices</t>
  </si>
  <si>
    <t xml:space="preserve">Panel cost </t>
  </si>
  <si>
    <t>cap factors</t>
  </si>
  <si>
    <t>Solar Levelized Costs</t>
  </si>
  <si>
    <t>Res Light Levelized Costs</t>
  </si>
  <si>
    <t>Com Light Levelized Costs</t>
  </si>
  <si>
    <t>Wind Levelized Costs</t>
  </si>
  <si>
    <t>Inverter cost decline rate</t>
  </si>
  <si>
    <t>PTC</t>
  </si>
  <si>
    <t>Price</t>
  </si>
  <si>
    <t>Replace inverter more than once</t>
  </si>
  <si>
    <t>Replace inverter more than twice</t>
  </si>
  <si>
    <t>Replace inverter</t>
  </si>
  <si>
    <t>NPV of total cost</t>
  </si>
  <si>
    <t>Watts to megawatts</t>
  </si>
  <si>
    <t>NPV of lifetime MWh per W</t>
  </si>
  <si>
    <t>Conversion rate $2013 to $2012</t>
  </si>
  <si>
    <t>"West"</t>
  </si>
  <si>
    <t>Region</t>
  </si>
  <si>
    <t>"Interior"</t>
  </si>
  <si>
    <t>"Northeast"</t>
  </si>
  <si>
    <t>"Great Lakes"</t>
  </si>
  <si>
    <t>Wh/W output at 100% insolation</t>
  </si>
  <si>
    <t>Discounted value of Wh/W</t>
  </si>
  <si>
    <t>Years since install</t>
  </si>
  <si>
    <t>CF as factor of original CF</t>
  </si>
  <si>
    <t>Panel cost per W</t>
  </si>
  <si>
    <t>Inverter cost per W</t>
  </si>
  <si>
    <t>Discounting stream</t>
  </si>
  <si>
    <t>Discounted cost per W</t>
  </si>
  <si>
    <t>Line losses</t>
  </si>
  <si>
    <t>Duncan Callaway, Meredith Fowlie, and Gavin McCormick</t>
  </si>
  <si>
    <t xml:space="preserve">Location, location, location: The variable value of renewable energy and demand-side efficiency resources </t>
  </si>
  <si>
    <t>Accompanying spreadsheet</t>
  </si>
  <si>
    <t>The Graph tab produces a graph equivalent to Figure 7 in the paper based on these results.</t>
  </si>
  <si>
    <t>Purpose of this spreadsheet</t>
  </si>
  <si>
    <t>Working with this spreadsheet</t>
  </si>
  <si>
    <t>This spreadsheet is designed to allow interested readers to see how results in the paper vary under different sensitivity cases.</t>
  </si>
  <si>
    <t>Additional notes</t>
  </si>
  <si>
    <t>All data sources are noted in the paper.</t>
  </si>
  <si>
    <t>MEDR lower bound</t>
  </si>
  <si>
    <t>MEDR mean</t>
  </si>
  <si>
    <t>MEDR upper bound</t>
  </si>
  <si>
    <t>operating cost savings lower bound</t>
  </si>
  <si>
    <t>operating cost savings upper bound</t>
  </si>
  <si>
    <t>operating cost savings mean</t>
  </si>
  <si>
    <t>Lower and upper bounds in the input tab are provided for context only. To change results, change the mean values.</t>
  </si>
  <si>
    <t>$ per ton</t>
  </si>
  <si>
    <t>W/MW</t>
  </si>
  <si>
    <t>Conversion rate $2008 to $2012</t>
  </si>
  <si>
    <t>$2012/$2013</t>
  </si>
  <si>
    <t>$2012/$2008</t>
  </si>
  <si>
    <t>lb/ton</t>
  </si>
  <si>
    <t>Capacity price in $/MW-year</t>
  </si>
  <si>
    <t>Values in this graph (same as MAC numbers from Results tab, just arranged for easy graphing)</t>
  </si>
  <si>
    <t>The Inputs tab lists key assumptions that go into the paper.</t>
  </si>
  <si>
    <t>The Results tab calculate key outputs such as levelized cost of energy (LCOE) and marginal abatement costs (MAC) based on these assumptions.</t>
  </si>
  <si>
    <t>Layout</t>
  </si>
  <si>
    <t>Example: to reproduce the sensitivity case in Figure 16 in the paper, change the efficiency realization rate (cell D6 on the Inputs tab) from 100% to 50%.</t>
  </si>
  <si>
    <t>The spreadsheet is designed for users to modify any assumptions on the Inputs tab.</t>
  </si>
  <si>
    <t>Other tabs  are not designed to be directly modified; instead they show how the results would vary under different assumptions.</t>
  </si>
  <si>
    <t>September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</si>
</sst>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%"/>
    <numFmt numFmtId="167" formatCode="_(* #,##0.000_);_(* \(#,##0.000\);_(* &quot;-&quot;??_);_(@_)"/>
    <numFmt numFmtId="168" formatCode="0.0000"/>
    <numFmt numFmtId="169" formatCode="_(* #,##0.00000_);_(* \(#,##0.00000\);_(* &quot;-&quot;??_);_(@_)"/>
    <numFmt numFmtId="170" formatCode="_(* #,##0.0000_);_(* \(#,##0.00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6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2">
    <xf numFmtId="0" fontId="0" fillId="0" borderId="0" xfId="0"/>
    <xf numFmtId="3" fontId="0" fillId="0" borderId="0" xfId="0" applyNumberFormat="1"/>
    <xf numFmtId="0" fontId="0" fillId="0" borderId="0" xfId="0" applyFont="1" applyFill="1"/>
    <xf numFmtId="0" fontId="0" fillId="0" borderId="0" xfId="0" applyFill="1"/>
    <xf numFmtId="165" fontId="0" fillId="0" borderId="0" xfId="1" applyNumberFormat="1" applyFont="1" applyFill="1" applyAlignment="1"/>
    <xf numFmtId="165" fontId="0" fillId="0" borderId="0" xfId="1" applyNumberFormat="1" applyFont="1" applyFill="1"/>
    <xf numFmtId="43" fontId="0" fillId="0" borderId="0" xfId="0" applyNumberFormat="1" applyFill="1"/>
    <xf numFmtId="164" fontId="0" fillId="0" borderId="0" xfId="1" applyNumberFormat="1" applyFont="1" applyFill="1"/>
    <xf numFmtId="167" fontId="0" fillId="0" borderId="0" xfId="1" applyNumberFormat="1" applyFont="1" applyFill="1"/>
    <xf numFmtId="8" fontId="0" fillId="0" borderId="0" xfId="0" applyNumberFormat="1" applyFill="1"/>
    <xf numFmtId="3" fontId="0" fillId="0" borderId="0" xfId="0" applyNumberFormat="1" applyFont="1"/>
    <xf numFmtId="0" fontId="2" fillId="0" borderId="0" xfId="0" applyFont="1" applyFill="1"/>
    <xf numFmtId="164" fontId="2" fillId="0" borderId="0" xfId="1" applyNumberFormat="1" applyFont="1" applyFill="1"/>
    <xf numFmtId="0" fontId="5" fillId="0" borderId="0" xfId="0" applyFont="1" applyFill="1"/>
    <xf numFmtId="44" fontId="0" fillId="0" borderId="0" xfId="74" applyFont="1" applyFill="1"/>
    <xf numFmtId="168" fontId="0" fillId="0" borderId="0" xfId="0" applyNumberFormat="1" applyFill="1"/>
    <xf numFmtId="0" fontId="2" fillId="0" borderId="0" xfId="0" applyFont="1" applyFill="1" applyAlignment="1"/>
    <xf numFmtId="9" fontId="0" fillId="0" borderId="0" xfId="0" applyNumberFormat="1" applyFont="1" applyFill="1"/>
    <xf numFmtId="6" fontId="0" fillId="0" borderId="0" xfId="0" applyNumberFormat="1" applyFont="1" applyFill="1"/>
    <xf numFmtId="164" fontId="1" fillId="0" borderId="0" xfId="1" applyNumberFormat="1" applyFont="1" applyFill="1"/>
    <xf numFmtId="9" fontId="2" fillId="0" borderId="0" xfId="0" applyNumberFormat="1" applyFont="1" applyFill="1"/>
    <xf numFmtId="166" fontId="0" fillId="0" borderId="0" xfId="0" applyNumberFormat="1" applyFill="1"/>
    <xf numFmtId="0" fontId="0" fillId="0" borderId="0" xfId="0" applyFill="1" applyAlignment="1">
      <alignment horizontal="center"/>
    </xf>
    <xf numFmtId="7" fontId="0" fillId="0" borderId="0" xfId="0" applyNumberFormat="1" applyFill="1" applyAlignment="1">
      <alignment horizontal="center"/>
    </xf>
    <xf numFmtId="7" fontId="0" fillId="0" borderId="0" xfId="0" applyNumberFormat="1" applyFill="1"/>
    <xf numFmtId="8" fontId="0" fillId="0" borderId="0" xfId="0" applyNumberFormat="1" applyFont="1" applyFill="1"/>
    <xf numFmtId="8" fontId="2" fillId="0" borderId="0" xfId="0" applyNumberFormat="1" applyFont="1" applyFill="1"/>
    <xf numFmtId="0" fontId="2" fillId="0" borderId="0" xfId="0" applyFont="1" applyFill="1" applyBorder="1" applyAlignment="1">
      <alignment wrapText="1"/>
    </xf>
    <xf numFmtId="6" fontId="0" fillId="0" borderId="0" xfId="0" applyNumberFormat="1" applyFill="1"/>
    <xf numFmtId="43" fontId="0" fillId="0" borderId="0" xfId="1" applyFont="1" applyFill="1"/>
    <xf numFmtId="43" fontId="0" fillId="0" borderId="0" xfId="1" applyFont="1"/>
    <xf numFmtId="164" fontId="0" fillId="0" borderId="0" xfId="1" applyNumberFormat="1" applyFont="1"/>
    <xf numFmtId="0" fontId="2" fillId="0" borderId="0" xfId="0" applyFont="1" applyAlignment="1">
      <alignment wrapText="1"/>
    </xf>
    <xf numFmtId="167" fontId="1" fillId="0" borderId="0" xfId="1" applyNumberFormat="1" applyFont="1" applyFill="1"/>
    <xf numFmtId="43" fontId="0" fillId="0" borderId="0" xfId="0" applyNumberFormat="1"/>
    <xf numFmtId="0" fontId="0" fillId="0" borderId="0" xfId="0" applyNumberFormat="1"/>
    <xf numFmtId="0" fontId="2" fillId="0" borderId="0" xfId="0" applyFont="1"/>
    <xf numFmtId="9" fontId="0" fillId="0" borderId="0" xfId="75" applyNumberFormat="1" applyFont="1" applyFill="1"/>
    <xf numFmtId="169" fontId="1" fillId="0" borderId="0" xfId="1" applyNumberFormat="1" applyFont="1" applyFill="1"/>
    <xf numFmtId="0" fontId="6" fillId="0" borderId="0" xfId="0" applyFont="1" applyFill="1"/>
    <xf numFmtId="43" fontId="6" fillId="0" borderId="0" xfId="1" applyNumberFormat="1" applyFont="1" applyFill="1"/>
    <xf numFmtId="165" fontId="6" fillId="0" borderId="0" xfId="1" applyNumberFormat="1" applyFont="1" applyFill="1"/>
    <xf numFmtId="167" fontId="6" fillId="0" borderId="0" xfId="1" applyNumberFormat="1" applyFont="1" applyFill="1"/>
    <xf numFmtId="0" fontId="0" fillId="0" borderId="0" xfId="0" applyFont="1" applyFill="1" applyAlignment="1">
      <alignment horizontal="left"/>
    </xf>
    <xf numFmtId="164" fontId="6" fillId="0" borderId="0" xfId="0" applyNumberFormat="1" applyFont="1" applyFill="1"/>
    <xf numFmtId="43" fontId="0" fillId="0" borderId="0" xfId="1" applyNumberFormat="1" applyFont="1" applyFill="1"/>
    <xf numFmtId="170" fontId="0" fillId="0" borderId="0" xfId="1" applyNumberFormat="1" applyFont="1" applyFill="1"/>
    <xf numFmtId="17" fontId="0" fillId="0" borderId="0" xfId="0" quotePrefix="1" applyNumberFormat="1"/>
    <xf numFmtId="0" fontId="7" fillId="0" borderId="0" xfId="0" applyFont="1"/>
    <xf numFmtId="164" fontId="2" fillId="0" borderId="0" xfId="1" applyNumberFormat="1" applyFont="1" applyFill="1" applyAlignment="1">
      <alignment horizontal="center" wrapText="1"/>
    </xf>
    <xf numFmtId="49" fontId="2" fillId="0" borderId="0" xfId="1" applyNumberFormat="1" applyFont="1" applyFill="1" applyAlignment="1">
      <alignment horizontal="center" wrapText="1"/>
    </xf>
    <xf numFmtId="0" fontId="0" fillId="0" borderId="0" xfId="0" applyAlignment="1">
      <alignment wrapText="1"/>
    </xf>
  </cellXfs>
  <cellStyles count="76">
    <cellStyle name="Comma" xfId="1" builtinId="3"/>
    <cellStyle name="Currency" xfId="74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Normal" xfId="0" builtinId="0"/>
    <cellStyle name="Percent" xfId="75" builtinId="5"/>
  </cellStyles>
  <dxfs count="0"/>
  <tableStyles count="0" defaultTableStyle="TableStyleMedium2" defaultPivotStyle="PivotStyleLight16"/>
  <colors>
    <mruColors>
      <color rgb="FFDADFC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Graph!$A$24</c:f>
              <c:strCache>
                <c:ptCount val="1"/>
                <c:pt idx="0">
                  <c:v>NYISO</c:v>
                </c:pt>
              </c:strCache>
            </c:strRef>
          </c:tx>
          <c:invertIfNegative val="0"/>
          <c:cat>
            <c:strRef>
              <c:f>Graph!$B$23:$E$23</c:f>
              <c:strCache>
                <c:ptCount val="4"/>
                <c:pt idx="0">
                  <c:v>PV</c:v>
                </c:pt>
                <c:pt idx="1">
                  <c:v>Wind</c:v>
                </c:pt>
                <c:pt idx="2">
                  <c:v>Residential lighting</c:v>
                </c:pt>
                <c:pt idx="3">
                  <c:v>Commercial lighting</c:v>
                </c:pt>
              </c:strCache>
            </c:strRef>
          </c:cat>
          <c:val>
            <c:numRef>
              <c:f>Graph!$B$24:$E$24</c:f>
              <c:numCache>
                <c:formatCode>#,##0</c:formatCode>
                <c:ptCount val="4"/>
                <c:pt idx="0">
                  <c:v>144.8974194551187</c:v>
                </c:pt>
                <c:pt idx="1">
                  <c:v>44.46946439992118</c:v>
                </c:pt>
                <c:pt idx="2">
                  <c:v>-34.74561889858687</c:v>
                </c:pt>
                <c:pt idx="3">
                  <c:v>-72.5032133656978</c:v>
                </c:pt>
              </c:numCache>
            </c:numRef>
          </c:val>
        </c:ser>
        <c:ser>
          <c:idx val="1"/>
          <c:order val="1"/>
          <c:tx>
            <c:strRef>
              <c:f>Graph!$A$25</c:f>
              <c:strCache>
                <c:ptCount val="1"/>
                <c:pt idx="0">
                  <c:v>California</c:v>
                </c:pt>
              </c:strCache>
            </c:strRef>
          </c:tx>
          <c:invertIfNegative val="0"/>
          <c:cat>
            <c:strRef>
              <c:f>Graph!$B$23:$E$23</c:f>
              <c:strCache>
                <c:ptCount val="4"/>
                <c:pt idx="0">
                  <c:v>PV</c:v>
                </c:pt>
                <c:pt idx="1">
                  <c:v>Wind</c:v>
                </c:pt>
                <c:pt idx="2">
                  <c:v>Residential lighting</c:v>
                </c:pt>
                <c:pt idx="3">
                  <c:v>Commercial lighting</c:v>
                </c:pt>
              </c:strCache>
            </c:strRef>
          </c:cat>
          <c:val>
            <c:numRef>
              <c:f>Graph!$B$25:$E$25</c:f>
              <c:numCache>
                <c:formatCode>#,##0</c:formatCode>
                <c:ptCount val="4"/>
                <c:pt idx="0">
                  <c:v>121.5710575579029</c:v>
                </c:pt>
                <c:pt idx="1">
                  <c:v>103.624226795374</c:v>
                </c:pt>
                <c:pt idx="2">
                  <c:v>-22.50659937731037</c:v>
                </c:pt>
                <c:pt idx="3">
                  <c:v>-67.52638591876514</c:v>
                </c:pt>
              </c:numCache>
            </c:numRef>
          </c:val>
        </c:ser>
        <c:ser>
          <c:idx val="2"/>
          <c:order val="2"/>
          <c:tx>
            <c:strRef>
              <c:f>Graph!$A$26</c:f>
              <c:strCache>
                <c:ptCount val="1"/>
                <c:pt idx="0">
                  <c:v>ISONE</c:v>
                </c:pt>
              </c:strCache>
            </c:strRef>
          </c:tx>
          <c:invertIfNegative val="0"/>
          <c:cat>
            <c:strRef>
              <c:f>Graph!$B$23:$E$23</c:f>
              <c:strCache>
                <c:ptCount val="4"/>
                <c:pt idx="0">
                  <c:v>PV</c:v>
                </c:pt>
                <c:pt idx="1">
                  <c:v>Wind</c:v>
                </c:pt>
                <c:pt idx="2">
                  <c:v>Residential lighting</c:v>
                </c:pt>
                <c:pt idx="3">
                  <c:v>Commercial lighting</c:v>
                </c:pt>
              </c:strCache>
            </c:strRef>
          </c:cat>
          <c:val>
            <c:numRef>
              <c:f>Graph!$B$26:$E$26</c:f>
              <c:numCache>
                <c:formatCode>#,##0</c:formatCode>
                <c:ptCount val="4"/>
                <c:pt idx="0">
                  <c:v>114.6676280610277</c:v>
                </c:pt>
                <c:pt idx="1">
                  <c:v>39.1182053404929</c:v>
                </c:pt>
                <c:pt idx="2">
                  <c:v>-43.99571615582602</c:v>
                </c:pt>
                <c:pt idx="3">
                  <c:v>-78.17810187312109</c:v>
                </c:pt>
              </c:numCache>
            </c:numRef>
          </c:val>
        </c:ser>
        <c:ser>
          <c:idx val="3"/>
          <c:order val="3"/>
          <c:tx>
            <c:strRef>
              <c:f>Graph!$A$27</c:f>
              <c:strCache>
                <c:ptCount val="1"/>
                <c:pt idx="0">
                  <c:v>PJM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</c:spPr>
          <c:invertIfNegative val="0"/>
          <c:cat>
            <c:strRef>
              <c:f>Graph!$B$23:$E$23</c:f>
              <c:strCache>
                <c:ptCount val="4"/>
                <c:pt idx="0">
                  <c:v>PV</c:v>
                </c:pt>
                <c:pt idx="1">
                  <c:v>Wind</c:v>
                </c:pt>
                <c:pt idx="2">
                  <c:v>Residential lighting</c:v>
                </c:pt>
                <c:pt idx="3">
                  <c:v>Commercial lighting</c:v>
                </c:pt>
              </c:strCache>
            </c:strRef>
          </c:cat>
          <c:val>
            <c:numRef>
              <c:f>Graph!$B$27:$E$27</c:f>
              <c:numCache>
                <c:formatCode>#,##0</c:formatCode>
                <c:ptCount val="4"/>
                <c:pt idx="0">
                  <c:v>96.09887802196576</c:v>
                </c:pt>
                <c:pt idx="1">
                  <c:v>33.05160438670162</c:v>
                </c:pt>
                <c:pt idx="2">
                  <c:v>-25.20160733342094</c:v>
                </c:pt>
                <c:pt idx="3">
                  <c:v>-50.75324931637952</c:v>
                </c:pt>
              </c:numCache>
            </c:numRef>
          </c:val>
        </c:ser>
        <c:ser>
          <c:idx val="4"/>
          <c:order val="4"/>
          <c:tx>
            <c:strRef>
              <c:f>Graph!$A$28</c:f>
              <c:strCache>
                <c:ptCount val="1"/>
                <c:pt idx="0">
                  <c:v>ERCOT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strRef>
              <c:f>Graph!$B$23:$E$23</c:f>
              <c:strCache>
                <c:ptCount val="4"/>
                <c:pt idx="0">
                  <c:v>PV</c:v>
                </c:pt>
                <c:pt idx="1">
                  <c:v>Wind</c:v>
                </c:pt>
                <c:pt idx="2">
                  <c:v>Residential lighting</c:v>
                </c:pt>
                <c:pt idx="3">
                  <c:v>Commercial lighting</c:v>
                </c:pt>
              </c:strCache>
            </c:strRef>
          </c:cat>
          <c:val>
            <c:numRef>
              <c:f>Graph!$B$28:$E$28</c:f>
              <c:numCache>
                <c:formatCode>#,##0</c:formatCode>
                <c:ptCount val="4"/>
                <c:pt idx="0">
                  <c:v>78.6354603084165</c:v>
                </c:pt>
                <c:pt idx="1">
                  <c:v>21.77748390156384</c:v>
                </c:pt>
                <c:pt idx="2">
                  <c:v>-8.33334403225601</c:v>
                </c:pt>
                <c:pt idx="3">
                  <c:v>-47.91176469706076</c:v>
                </c:pt>
              </c:numCache>
            </c:numRef>
          </c:val>
        </c:ser>
        <c:ser>
          <c:idx val="5"/>
          <c:order val="5"/>
          <c:tx>
            <c:strRef>
              <c:f>Graph!$A$29</c:f>
              <c:strCache>
                <c:ptCount val="1"/>
                <c:pt idx="0">
                  <c:v>MISO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strRef>
              <c:f>Graph!$B$23:$E$23</c:f>
              <c:strCache>
                <c:ptCount val="4"/>
                <c:pt idx="0">
                  <c:v>PV</c:v>
                </c:pt>
                <c:pt idx="1">
                  <c:v>Wind</c:v>
                </c:pt>
                <c:pt idx="2">
                  <c:v>Residential lighting</c:v>
                </c:pt>
                <c:pt idx="3">
                  <c:v>Commercial lighting</c:v>
                </c:pt>
              </c:strCache>
            </c:strRef>
          </c:cat>
          <c:val>
            <c:numRef>
              <c:f>Graph!$B$29:$E$29</c:f>
              <c:numCache>
                <c:formatCode>#,##0</c:formatCode>
                <c:ptCount val="4"/>
                <c:pt idx="0">
                  <c:v>70.90195882423724</c:v>
                </c:pt>
                <c:pt idx="1">
                  <c:v>31.5974901189835</c:v>
                </c:pt>
                <c:pt idx="2">
                  <c:v>-13.8562841652586</c:v>
                </c:pt>
                <c:pt idx="3">
                  <c:v>-38.60661808638508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419104"/>
        <c:axId val="534365440"/>
      </c:barChart>
      <c:catAx>
        <c:axId val="864191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34365440"/>
        <c:crosses val="autoZero"/>
        <c:auto val="1"/>
        <c:lblAlgn val="ctr"/>
        <c:lblOffset val="100"/>
        <c:noMultiLvlLbl val="0"/>
      </c:catAx>
      <c:valAx>
        <c:axId val="534365440"/>
        <c:scaling>
          <c:orientation val="minMax"/>
        </c:scaling>
        <c:delete val="0"/>
        <c:axPos val="l"/>
        <c:majorGridlines>
          <c:spPr>
            <a:ln w="3175" cmpd="sng">
              <a:solidFill>
                <a:schemeClr val="tx1">
                  <a:tint val="75000"/>
                  <a:shade val="95000"/>
                  <a:satMod val="105000"/>
                  <a:alpha val="26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$ / ton CO2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8641910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solidFill>
      <a:schemeClr val="bg1">
        <a:lumMod val="85000"/>
      </a:schemeClr>
    </a:solidFill>
  </c:spPr>
  <c:printSettings>
    <c:headerFooter/>
    <c:pageMargins b="1.0" l="0.75" r="0.75" t="1.0" header="0.5" footer="0.5"/>
    <c:pageSetup orientation="portrait" horizontalDpi="-4" verticalDpi="-4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1</xdr:row>
      <xdr:rowOff>66674</xdr:rowOff>
    </xdr:from>
    <xdr:to>
      <xdr:col>6</xdr:col>
      <xdr:colOff>142875</xdr:colOff>
      <xdr:row>18</xdr:row>
      <xdr:rowOff>171449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0.74938</cdr:x>
      <cdr:y>0.38343</cdr:y>
    </cdr:from>
    <cdr:to>
      <cdr:x>0.98854</cdr:x>
      <cdr:y>0.46256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311940" y="1281902"/>
          <a:ext cx="1056992" cy="26456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/>
            <a:t>Com. lighting</a:t>
          </a:r>
        </a:p>
      </cdr:txBody>
    </cdr:sp>
  </cdr:relSizeAnchor>
  <cdr:relSizeAnchor xmlns:cdr="http://schemas.openxmlformats.org/drawingml/2006/chartDrawing">
    <cdr:from>
      <cdr:x>0.13506</cdr:x>
      <cdr:y>0.61607</cdr:y>
    </cdr:from>
    <cdr:to>
      <cdr:x>0.37422</cdr:x>
      <cdr:y>0.69398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596901" y="2059688"/>
          <a:ext cx="1056991" cy="260475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/>
            <a:t>PV</a:t>
          </a:r>
        </a:p>
      </cdr:txBody>
    </cdr:sp>
  </cdr:relSizeAnchor>
  <cdr:relSizeAnchor xmlns:cdr="http://schemas.openxmlformats.org/drawingml/2006/chartDrawing">
    <cdr:from>
      <cdr:x>0.34936</cdr:x>
      <cdr:y>0.60698</cdr:y>
    </cdr:from>
    <cdr:to>
      <cdr:x>0.58851</cdr:x>
      <cdr:y>0.68489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544051" y="2029311"/>
          <a:ext cx="1056948" cy="260475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/>
            <a:t>Wind</a:t>
          </a:r>
        </a:p>
      </cdr:txBody>
    </cdr:sp>
  </cdr:relSizeAnchor>
  <cdr:relSizeAnchor xmlns:cdr="http://schemas.openxmlformats.org/drawingml/2006/chartDrawing">
    <cdr:from>
      <cdr:x>0.55406</cdr:x>
      <cdr:y>0.37604</cdr:y>
    </cdr:from>
    <cdr:to>
      <cdr:x>0.79322</cdr:x>
      <cdr:y>0.45395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2448728" y="1257218"/>
          <a:ext cx="1056992" cy="260475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/>
            <a:t>Res. lighting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>
      <selection activeCell="A4" sqref="A4"/>
    </sheetView>
  </sheetViews>
  <sheetFormatPr baseColWidth="10" defaultColWidth="8.83203125" defaultRowHeight="15" x14ac:dyDescent="0.2"/>
  <sheetData>
    <row r="1" spans="1:1" ht="16" x14ac:dyDescent="0.2">
      <c r="A1" s="48" t="s">
        <v>96</v>
      </c>
    </row>
    <row r="2" spans="1:1" x14ac:dyDescent="0.2">
      <c r="A2" s="36" t="s">
        <v>97</v>
      </c>
    </row>
    <row r="3" spans="1:1" x14ac:dyDescent="0.2">
      <c r="A3" t="s">
        <v>95</v>
      </c>
    </row>
    <row r="4" spans="1:1" x14ac:dyDescent="0.2">
      <c r="A4" s="47" t="s">
        <v>125</v>
      </c>
    </row>
    <row r="6" spans="1:1" x14ac:dyDescent="0.2">
      <c r="A6" s="36" t="s">
        <v>99</v>
      </c>
    </row>
    <row r="7" spans="1:1" x14ac:dyDescent="0.2">
      <c r="A7" t="s">
        <v>101</v>
      </c>
    </row>
    <row r="9" spans="1:1" x14ac:dyDescent="0.2">
      <c r="A9" s="36" t="s">
        <v>121</v>
      </c>
    </row>
    <row r="10" spans="1:1" x14ac:dyDescent="0.2">
      <c r="A10" t="s">
        <v>119</v>
      </c>
    </row>
    <row r="11" spans="1:1" x14ac:dyDescent="0.2">
      <c r="A11" t="s">
        <v>120</v>
      </c>
    </row>
    <row r="12" spans="1:1" x14ac:dyDescent="0.2">
      <c r="A12" t="s">
        <v>98</v>
      </c>
    </row>
    <row r="14" spans="1:1" x14ac:dyDescent="0.2">
      <c r="A14" s="36" t="s">
        <v>100</v>
      </c>
    </row>
    <row r="15" spans="1:1" x14ac:dyDescent="0.2">
      <c r="A15" t="s">
        <v>123</v>
      </c>
    </row>
    <row r="16" spans="1:1" x14ac:dyDescent="0.2">
      <c r="A16" t="s">
        <v>124</v>
      </c>
    </row>
    <row r="17" spans="1:1" x14ac:dyDescent="0.2">
      <c r="A17" t="s">
        <v>122</v>
      </c>
    </row>
    <row r="19" spans="1:1" x14ac:dyDescent="0.2">
      <c r="A19" s="36" t="s">
        <v>102</v>
      </c>
    </row>
    <row r="20" spans="1:1" x14ac:dyDescent="0.2">
      <c r="A20" t="s">
        <v>103</v>
      </c>
    </row>
    <row r="21" spans="1:1" x14ac:dyDescent="0.2">
      <c r="A21" t="s">
        <v>110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0"/>
  <sheetViews>
    <sheetView workbookViewId="0">
      <selection activeCell="B7" sqref="B7"/>
    </sheetView>
  </sheetViews>
  <sheetFormatPr baseColWidth="10" defaultColWidth="8.83203125" defaultRowHeight="15" x14ac:dyDescent="0.2"/>
  <cols>
    <col min="1" max="1" width="31.5" style="3" customWidth="1"/>
    <col min="2" max="6" width="15.5" style="3" customWidth="1"/>
    <col min="7" max="9" width="24.5" style="3" customWidth="1"/>
    <col min="10" max="10" width="15.5" style="3" customWidth="1"/>
    <col min="11" max="11" width="24.5" style="3" bestFit="1" customWidth="1"/>
    <col min="12" max="12" width="9.6640625" style="3" bestFit="1" customWidth="1"/>
    <col min="13" max="13" width="12.83203125" style="3" bestFit="1" customWidth="1"/>
    <col min="14" max="14" width="9.5" style="3" bestFit="1" customWidth="1"/>
    <col min="15" max="15" width="5" style="3" bestFit="1" customWidth="1"/>
    <col min="16" max="16" width="12.5" style="3" bestFit="1" customWidth="1"/>
    <col min="17" max="17" width="30.83203125" style="3" bestFit="1" customWidth="1"/>
    <col min="18" max="18" width="20.33203125" style="3" bestFit="1" customWidth="1"/>
    <col min="19" max="16384" width="8.83203125" style="3"/>
  </cols>
  <sheetData>
    <row r="1" spans="1:9" x14ac:dyDescent="0.2">
      <c r="A1" s="13" t="s">
        <v>35</v>
      </c>
    </row>
    <row r="2" spans="1:9" x14ac:dyDescent="0.2">
      <c r="A2" s="11" t="s">
        <v>58</v>
      </c>
      <c r="B2" s="11" t="s">
        <v>57</v>
      </c>
      <c r="C2" s="11" t="s">
        <v>33</v>
      </c>
      <c r="D2" s="11"/>
    </row>
    <row r="3" spans="1:9" x14ac:dyDescent="0.2">
      <c r="A3" s="11" t="s">
        <v>59</v>
      </c>
      <c r="B3" s="11"/>
      <c r="C3" s="11"/>
      <c r="D3" s="11"/>
    </row>
    <row r="4" spans="1:9" x14ac:dyDescent="0.2">
      <c r="A4" s="3" t="s">
        <v>23</v>
      </c>
      <c r="B4" s="17">
        <v>0.03</v>
      </c>
    </row>
    <row r="5" spans="1:9" x14ac:dyDescent="0.2">
      <c r="A5" s="3" t="s">
        <v>56</v>
      </c>
      <c r="B5" s="7">
        <v>38</v>
      </c>
      <c r="C5" s="3" t="s">
        <v>111</v>
      </c>
    </row>
    <row r="6" spans="1:9" x14ac:dyDescent="0.2">
      <c r="A6" s="11" t="s">
        <v>40</v>
      </c>
      <c r="B6" s="18"/>
    </row>
    <row r="7" spans="1:9" x14ac:dyDescent="0.2">
      <c r="A7" s="3" t="s">
        <v>61</v>
      </c>
      <c r="B7" s="19">
        <v>2000</v>
      </c>
      <c r="C7" s="3" t="s">
        <v>116</v>
      </c>
    </row>
    <row r="8" spans="1:9" x14ac:dyDescent="0.2">
      <c r="A8" s="3" t="s">
        <v>80</v>
      </c>
      <c r="B8" s="8">
        <v>0.98555999999999999</v>
      </c>
      <c r="C8" s="3" t="s">
        <v>114</v>
      </c>
    </row>
    <row r="9" spans="1:9" x14ac:dyDescent="0.2">
      <c r="A9" s="3" t="s">
        <v>113</v>
      </c>
      <c r="B9" s="8">
        <v>1.0663800000000001</v>
      </c>
      <c r="C9" s="3" t="s">
        <v>115</v>
      </c>
    </row>
    <row r="10" spans="1:9" x14ac:dyDescent="0.2">
      <c r="A10" s="3" t="s">
        <v>78</v>
      </c>
      <c r="B10" s="7">
        <v>1000000</v>
      </c>
      <c r="C10" s="3" t="s">
        <v>112</v>
      </c>
    </row>
    <row r="11" spans="1:9" x14ac:dyDescent="0.2">
      <c r="A11" s="11" t="s">
        <v>31</v>
      </c>
    </row>
    <row r="12" spans="1:9" x14ac:dyDescent="0.2">
      <c r="A12" s="3" t="s">
        <v>72</v>
      </c>
      <c r="B12" s="3">
        <v>22</v>
      </c>
      <c r="C12" s="3" t="s">
        <v>111</v>
      </c>
    </row>
    <row r="13" spans="1:9" x14ac:dyDescent="0.2">
      <c r="A13" s="11" t="s">
        <v>55</v>
      </c>
      <c r="B13" s="20"/>
    </row>
    <row r="14" spans="1:9" x14ac:dyDescent="0.2">
      <c r="A14" s="2" t="s">
        <v>65</v>
      </c>
      <c r="B14" s="3">
        <v>2.97</v>
      </c>
      <c r="C14" s="3" t="s">
        <v>34</v>
      </c>
    </row>
    <row r="15" spans="1:9" x14ac:dyDescent="0.2">
      <c r="A15" s="3" t="s">
        <v>24</v>
      </c>
      <c r="B15" s="21">
        <v>5.0000000000000001E-3</v>
      </c>
      <c r="C15" s="3" t="s">
        <v>26</v>
      </c>
    </row>
    <row r="16" spans="1:9" x14ac:dyDescent="0.2">
      <c r="A16" s="3" t="s">
        <v>25</v>
      </c>
      <c r="B16" s="2">
        <v>30</v>
      </c>
      <c r="C16" s="3" t="s">
        <v>27</v>
      </c>
      <c r="E16" s="22"/>
      <c r="F16" s="23"/>
      <c r="G16" s="23"/>
      <c r="H16" s="23"/>
      <c r="I16" s="23"/>
    </row>
    <row r="17" spans="1:8" x14ac:dyDescent="0.2">
      <c r="A17" s="3" t="s">
        <v>28</v>
      </c>
      <c r="B17" s="2">
        <v>10</v>
      </c>
      <c r="C17" s="3" t="s">
        <v>27</v>
      </c>
      <c r="F17" s="24"/>
      <c r="H17" s="24"/>
    </row>
    <row r="18" spans="1:8" x14ac:dyDescent="0.2">
      <c r="A18" s="3" t="s">
        <v>76</v>
      </c>
      <c r="B18" s="2" t="b">
        <v>1</v>
      </c>
    </row>
    <row r="19" spans="1:8" x14ac:dyDescent="0.2">
      <c r="A19" s="3" t="s">
        <v>74</v>
      </c>
      <c r="B19" s="2" t="b">
        <v>1</v>
      </c>
    </row>
    <row r="20" spans="1:8" x14ac:dyDescent="0.2">
      <c r="A20" s="3" t="s">
        <v>75</v>
      </c>
      <c r="B20" s="2" t="b">
        <v>0</v>
      </c>
    </row>
    <row r="21" spans="1:8" x14ac:dyDescent="0.2">
      <c r="A21" s="3" t="s">
        <v>29</v>
      </c>
      <c r="B21" s="25">
        <v>0.2</v>
      </c>
      <c r="C21" s="3" t="s">
        <v>30</v>
      </c>
    </row>
    <row r="22" spans="1:8" x14ac:dyDescent="0.2">
      <c r="A22" s="3" t="s">
        <v>71</v>
      </c>
      <c r="B22" s="17">
        <v>0.02</v>
      </c>
      <c r="C22" s="3" t="s">
        <v>26</v>
      </c>
    </row>
    <row r="23" spans="1:8" x14ac:dyDescent="0.2">
      <c r="A23" s="11" t="s">
        <v>32</v>
      </c>
      <c r="B23" s="2"/>
    </row>
    <row r="24" spans="1:8" x14ac:dyDescent="0.2">
      <c r="A24" s="2" t="s">
        <v>94</v>
      </c>
      <c r="B24" s="37">
        <f>1-1/1.06</f>
        <v>5.6603773584905759E-2</v>
      </c>
    </row>
    <row r="25" spans="1:8" x14ac:dyDescent="0.2">
      <c r="A25" s="3" t="s">
        <v>22</v>
      </c>
      <c r="B25" s="17">
        <v>1</v>
      </c>
    </row>
    <row r="26" spans="1:8" x14ac:dyDescent="0.2">
      <c r="A26" s="2" t="s">
        <v>41</v>
      </c>
      <c r="B26" s="19">
        <v>15</v>
      </c>
      <c r="C26" s="3" t="s">
        <v>27</v>
      </c>
    </row>
    <row r="27" spans="1:8" x14ac:dyDescent="0.2">
      <c r="A27" s="13"/>
    </row>
    <row r="28" spans="1:8" x14ac:dyDescent="0.2">
      <c r="A28" s="13" t="s">
        <v>52</v>
      </c>
    </row>
    <row r="29" spans="1:8" x14ac:dyDescent="0.2">
      <c r="A29" s="11" t="s">
        <v>63</v>
      </c>
      <c r="B29" s="11" t="s">
        <v>73</v>
      </c>
      <c r="C29" s="11" t="s">
        <v>82</v>
      </c>
      <c r="D29" s="11"/>
      <c r="E29" s="11"/>
      <c r="F29" s="11"/>
      <c r="G29" s="11"/>
      <c r="H29" s="11"/>
    </row>
    <row r="30" spans="1:8" x14ac:dyDescent="0.2">
      <c r="A30" s="3" t="s">
        <v>4</v>
      </c>
      <c r="B30" s="9">
        <f>59.38*Convert_2013_to_2012_dollars</f>
        <v>58.5225528</v>
      </c>
      <c r="C30" s="3" t="s">
        <v>81</v>
      </c>
      <c r="D30" s="11"/>
      <c r="E30" s="11"/>
      <c r="F30" s="11"/>
      <c r="G30" s="11"/>
    </row>
    <row r="31" spans="1:8" x14ac:dyDescent="0.2">
      <c r="A31" s="3" t="s">
        <v>9</v>
      </c>
      <c r="B31" s="9">
        <f>21.91*Convert_2013_to_2012_dollars</f>
        <v>21.5936196</v>
      </c>
      <c r="C31" s="3" t="s">
        <v>83</v>
      </c>
      <c r="D31" s="11"/>
      <c r="E31" s="11"/>
      <c r="F31" s="11"/>
      <c r="G31" s="11"/>
    </row>
    <row r="32" spans="1:8" x14ac:dyDescent="0.2">
      <c r="A32" s="3" t="s">
        <v>10</v>
      </c>
      <c r="B32" s="9">
        <f>53.89*Convert_2013_to_2012_dollars</f>
        <v>53.1118284</v>
      </c>
      <c r="C32" s="3" t="s">
        <v>84</v>
      </c>
      <c r="D32" s="11"/>
      <c r="E32" s="11"/>
      <c r="F32" s="11"/>
      <c r="G32" s="11"/>
    </row>
    <row r="33" spans="1:13" x14ac:dyDescent="0.2">
      <c r="A33" s="3" t="s">
        <v>11</v>
      </c>
      <c r="B33" s="9">
        <f>43.69*Convert_2013_to_2012_dollars</f>
        <v>43.059116400000001</v>
      </c>
      <c r="C33" s="3" t="s">
        <v>85</v>
      </c>
      <c r="D33" s="11"/>
      <c r="E33" s="11"/>
      <c r="F33" s="11"/>
      <c r="G33" s="11"/>
    </row>
    <row r="34" spans="1:13" x14ac:dyDescent="0.2">
      <c r="A34" s="3" t="s">
        <v>12</v>
      </c>
      <c r="B34" s="9">
        <f>53.89*Convert_2013_to_2012_dollars</f>
        <v>53.1118284</v>
      </c>
      <c r="C34" s="3" t="s">
        <v>84</v>
      </c>
      <c r="D34" s="11"/>
      <c r="E34" s="26"/>
      <c r="F34" s="11"/>
      <c r="G34" s="11"/>
    </row>
    <row r="35" spans="1:13" x14ac:dyDescent="0.2">
      <c r="A35" s="3" t="s">
        <v>13</v>
      </c>
      <c r="B35" s="9">
        <f>53.89*Convert_2013_to_2012_dollars</f>
        <v>53.1118284</v>
      </c>
      <c r="C35" s="3" t="s">
        <v>84</v>
      </c>
      <c r="D35" s="11"/>
      <c r="E35" s="11"/>
      <c r="F35" s="11"/>
      <c r="G35" s="11"/>
    </row>
    <row r="36" spans="1:13" x14ac:dyDescent="0.2">
      <c r="A36" s="11"/>
      <c r="B36" s="11"/>
      <c r="C36" s="11"/>
      <c r="D36" s="11"/>
      <c r="E36" s="11"/>
      <c r="F36" s="11"/>
      <c r="G36" s="11"/>
    </row>
    <row r="37" spans="1:13" x14ac:dyDescent="0.2">
      <c r="A37" s="13" t="s">
        <v>53</v>
      </c>
    </row>
    <row r="38" spans="1:13" x14ac:dyDescent="0.2">
      <c r="B38" s="16" t="s">
        <v>36</v>
      </c>
      <c r="C38" s="11" t="s">
        <v>45</v>
      </c>
      <c r="D38" s="11" t="s">
        <v>44</v>
      </c>
      <c r="E38" s="11" t="s">
        <v>40</v>
      </c>
      <c r="F38" s="11" t="s">
        <v>37</v>
      </c>
      <c r="G38" s="11" t="s">
        <v>38</v>
      </c>
    </row>
    <row r="39" spans="1:13" x14ac:dyDescent="0.2">
      <c r="A39" s="27" t="s">
        <v>42</v>
      </c>
      <c r="B39" s="4">
        <v>39.200000000000003</v>
      </c>
      <c r="C39" s="5">
        <v>37.299999999999997</v>
      </c>
      <c r="D39" s="29">
        <f>B39-C39</f>
        <v>1.9000000000000057</v>
      </c>
      <c r="E39" s="2" t="s">
        <v>39</v>
      </c>
      <c r="F39" s="2">
        <v>52.96</v>
      </c>
      <c r="G39" s="3">
        <v>53.55</v>
      </c>
    </row>
    <row r="40" spans="1:13" x14ac:dyDescent="0.2">
      <c r="A40" s="27" t="s">
        <v>43</v>
      </c>
      <c r="B40" s="4">
        <v>224.07838179519595</v>
      </c>
      <c r="C40" s="5">
        <v>215.39317319848294</v>
      </c>
      <c r="D40" s="29">
        <f>B40-C40</f>
        <v>8.6852085967130108</v>
      </c>
      <c r="E40" s="2" t="s">
        <v>39</v>
      </c>
      <c r="F40" s="2">
        <v>62.87</v>
      </c>
      <c r="G40" s="2">
        <v>63.31</v>
      </c>
    </row>
    <row r="41" spans="1:13" x14ac:dyDescent="0.2">
      <c r="A41" s="13"/>
    </row>
    <row r="42" spans="1:13" ht="30" x14ac:dyDescent="0.2">
      <c r="A42" s="11" t="s">
        <v>0</v>
      </c>
      <c r="B42" s="11" t="s">
        <v>17</v>
      </c>
      <c r="C42" s="49" t="s">
        <v>104</v>
      </c>
      <c r="D42" s="49" t="s">
        <v>105</v>
      </c>
      <c r="E42" s="49" t="s">
        <v>106</v>
      </c>
      <c r="L42" s="12"/>
      <c r="M42" s="12"/>
    </row>
    <row r="43" spans="1:13" x14ac:dyDescent="0.2">
      <c r="A43" s="11"/>
      <c r="B43" s="11"/>
      <c r="C43" s="12" t="s">
        <v>15</v>
      </c>
      <c r="D43" s="12" t="s">
        <v>15</v>
      </c>
      <c r="E43" s="12" t="s">
        <v>15</v>
      </c>
      <c r="G43" s="7"/>
      <c r="H43" s="7"/>
      <c r="I43" s="7"/>
      <c r="L43" s="12"/>
      <c r="M43" s="12"/>
    </row>
    <row r="44" spans="1:13" x14ac:dyDescent="0.2">
      <c r="A44" s="3" t="s">
        <v>4</v>
      </c>
      <c r="B44" s="3" t="s">
        <v>5</v>
      </c>
      <c r="C44" s="7">
        <v>885.54629999999997</v>
      </c>
      <c r="D44" s="7">
        <v>904.93759999999997</v>
      </c>
      <c r="E44" s="7">
        <v>924.43700000000001</v>
      </c>
      <c r="G44" s="7"/>
      <c r="H44" s="7"/>
      <c r="I44" s="7"/>
      <c r="K44" s="6"/>
      <c r="L44" s="6"/>
      <c r="M44" s="6"/>
    </row>
    <row r="45" spans="1:13" x14ac:dyDescent="0.2">
      <c r="A45" s="3" t="s">
        <v>4</v>
      </c>
      <c r="B45" s="3" t="s">
        <v>6</v>
      </c>
      <c r="C45" s="7">
        <v>881.66970000000003</v>
      </c>
      <c r="D45" s="7">
        <v>905.2287</v>
      </c>
      <c r="E45" s="7">
        <v>930.06489999999997</v>
      </c>
      <c r="G45" s="7"/>
      <c r="H45" s="7"/>
      <c r="I45" s="7"/>
      <c r="L45" s="7"/>
      <c r="M45" s="7"/>
    </row>
    <row r="46" spans="1:13" x14ac:dyDescent="0.2">
      <c r="A46" s="3" t="s">
        <v>4</v>
      </c>
      <c r="B46" s="3" t="s">
        <v>7</v>
      </c>
      <c r="C46" s="7">
        <v>882.6653</v>
      </c>
      <c r="D46" s="7">
        <v>896.41200000000003</v>
      </c>
      <c r="E46" s="7">
        <v>911.96600000000001</v>
      </c>
      <c r="G46" s="7"/>
      <c r="H46" s="7"/>
      <c r="I46" s="7"/>
      <c r="L46" s="7"/>
      <c r="M46" s="7"/>
    </row>
    <row r="47" spans="1:13" x14ac:dyDescent="0.2">
      <c r="A47" s="3" t="s">
        <v>4</v>
      </c>
      <c r="B47" s="3" t="s">
        <v>8</v>
      </c>
      <c r="C47" s="7">
        <v>852.69240000000002</v>
      </c>
      <c r="D47" s="7">
        <v>892.80830000000003</v>
      </c>
      <c r="E47" s="7">
        <v>931.76220000000001</v>
      </c>
      <c r="G47" s="7"/>
      <c r="H47" s="7"/>
      <c r="I47" s="7"/>
      <c r="L47" s="7"/>
      <c r="M47" s="7"/>
    </row>
    <row r="48" spans="1:13" x14ac:dyDescent="0.2">
      <c r="A48" s="3" t="s">
        <v>9</v>
      </c>
      <c r="B48" s="3" t="s">
        <v>5</v>
      </c>
      <c r="C48" s="7">
        <v>1235.0309999999999</v>
      </c>
      <c r="D48" s="7">
        <v>1322.7339999999999</v>
      </c>
      <c r="E48" s="7">
        <v>1405.1790000000001</v>
      </c>
      <c r="L48" s="7"/>
      <c r="M48" s="7"/>
    </row>
    <row r="49" spans="1:13" x14ac:dyDescent="0.2">
      <c r="A49" s="3" t="s">
        <v>9</v>
      </c>
      <c r="B49" s="3" t="s">
        <v>6</v>
      </c>
      <c r="C49" s="7">
        <v>1172.4010000000001</v>
      </c>
      <c r="D49" s="7">
        <v>1254.269</v>
      </c>
      <c r="E49" s="7">
        <v>1342.797</v>
      </c>
      <c r="G49" s="7"/>
      <c r="H49" s="7"/>
      <c r="I49" s="7"/>
      <c r="L49" s="7"/>
      <c r="M49" s="7"/>
    </row>
    <row r="50" spans="1:13" x14ac:dyDescent="0.2">
      <c r="A50" s="3" t="s">
        <v>9</v>
      </c>
      <c r="B50" s="3" t="s">
        <v>7</v>
      </c>
      <c r="C50" s="7">
        <v>1257.231</v>
      </c>
      <c r="D50" s="7">
        <v>1348.2249999999999</v>
      </c>
      <c r="E50" s="7">
        <v>1431.597</v>
      </c>
      <c r="G50" s="7"/>
      <c r="H50" s="7"/>
      <c r="I50" s="7"/>
      <c r="L50" s="7"/>
      <c r="M50" s="7"/>
    </row>
    <row r="51" spans="1:13" x14ac:dyDescent="0.2">
      <c r="A51" s="3" t="s">
        <v>9</v>
      </c>
      <c r="B51" s="3" t="s">
        <v>8</v>
      </c>
      <c r="C51" s="7">
        <v>1294.6669999999999</v>
      </c>
      <c r="D51" s="7">
        <v>1400.136</v>
      </c>
      <c r="E51" s="7">
        <v>1512.5419999999999</v>
      </c>
      <c r="G51" s="7"/>
      <c r="H51" s="7"/>
      <c r="I51" s="7"/>
      <c r="L51" s="7"/>
      <c r="M51" s="7"/>
    </row>
    <row r="52" spans="1:13" x14ac:dyDescent="0.2">
      <c r="A52" s="3" t="s">
        <v>10</v>
      </c>
      <c r="B52" s="3" t="s">
        <v>5</v>
      </c>
      <c r="C52" s="7">
        <v>1215.99</v>
      </c>
      <c r="D52" s="7">
        <v>1266.5909999999999</v>
      </c>
      <c r="E52" s="7">
        <v>1320.0239999999999</v>
      </c>
      <c r="G52" s="7"/>
      <c r="H52" s="7"/>
      <c r="I52" s="7"/>
      <c r="L52" s="7"/>
      <c r="M52" s="7"/>
    </row>
    <row r="53" spans="1:13" x14ac:dyDescent="0.2">
      <c r="A53" s="3" t="s">
        <v>10</v>
      </c>
      <c r="B53" s="3" t="s">
        <v>6</v>
      </c>
      <c r="C53" s="7">
        <v>1230.614</v>
      </c>
      <c r="D53" s="7">
        <v>1294.8599999999999</v>
      </c>
      <c r="E53" s="7">
        <v>1362.4690000000001</v>
      </c>
      <c r="G53" s="7"/>
      <c r="H53" s="7"/>
      <c r="I53" s="7"/>
      <c r="L53" s="7"/>
      <c r="M53" s="7"/>
    </row>
    <row r="54" spans="1:13" x14ac:dyDescent="0.2">
      <c r="A54" s="3" t="s">
        <v>10</v>
      </c>
      <c r="B54" s="3" t="s">
        <v>7</v>
      </c>
      <c r="C54" s="7">
        <v>1228.8989999999999</v>
      </c>
      <c r="D54" s="7">
        <v>1277.932</v>
      </c>
      <c r="E54" s="7">
        <v>1330.373</v>
      </c>
      <c r="G54" s="7"/>
      <c r="H54" s="7"/>
      <c r="I54" s="7"/>
      <c r="L54" s="7"/>
      <c r="M54" s="7"/>
    </row>
    <row r="55" spans="1:13" x14ac:dyDescent="0.2">
      <c r="A55" s="3" t="s">
        <v>10</v>
      </c>
      <c r="B55" s="3" t="s">
        <v>8</v>
      </c>
      <c r="C55" s="7">
        <v>1183.057</v>
      </c>
      <c r="D55" s="7">
        <v>1248.2239999999999</v>
      </c>
      <c r="E55" s="7">
        <v>1315.6959999999999</v>
      </c>
      <c r="G55" s="7"/>
      <c r="H55" s="7"/>
      <c r="I55" s="7"/>
      <c r="L55" s="7"/>
      <c r="M55" s="7"/>
    </row>
    <row r="56" spans="1:13" x14ac:dyDescent="0.2">
      <c r="A56" s="3" t="s">
        <v>11</v>
      </c>
      <c r="B56" s="3" t="s">
        <v>5</v>
      </c>
      <c r="C56" s="7">
        <v>1780.1089999999999</v>
      </c>
      <c r="D56" s="7">
        <v>1829.645</v>
      </c>
      <c r="E56" s="7">
        <v>1885.5519999999999</v>
      </c>
      <c r="G56" s="7"/>
      <c r="H56" s="7"/>
      <c r="I56" s="7"/>
      <c r="L56" s="7"/>
      <c r="M56" s="7"/>
    </row>
    <row r="57" spans="1:13" x14ac:dyDescent="0.2">
      <c r="A57" s="3" t="s">
        <v>11</v>
      </c>
      <c r="B57" s="3" t="s">
        <v>6</v>
      </c>
      <c r="C57" s="7">
        <v>1717.5840000000001</v>
      </c>
      <c r="D57" s="7">
        <v>1785.8969999999999</v>
      </c>
      <c r="E57" s="7">
        <v>1857.056</v>
      </c>
      <c r="G57" s="7"/>
      <c r="H57" s="7"/>
      <c r="I57" s="7"/>
      <c r="L57" s="7"/>
      <c r="M57" s="7"/>
    </row>
    <row r="58" spans="1:13" x14ac:dyDescent="0.2">
      <c r="A58" s="3" t="s">
        <v>11</v>
      </c>
      <c r="B58" s="3" t="s">
        <v>7</v>
      </c>
      <c r="C58" s="7">
        <v>1826.5840000000001</v>
      </c>
      <c r="D58" s="7">
        <v>1870.048</v>
      </c>
      <c r="E58" s="7">
        <v>1915.982</v>
      </c>
      <c r="G58" s="7"/>
      <c r="H58" s="7"/>
      <c r="I58" s="7"/>
      <c r="L58" s="7"/>
      <c r="M58" s="7"/>
    </row>
    <row r="59" spans="1:13" x14ac:dyDescent="0.2">
      <c r="A59" s="3" t="s">
        <v>11</v>
      </c>
      <c r="B59" s="3" t="s">
        <v>8</v>
      </c>
      <c r="C59" s="7">
        <v>1810.472</v>
      </c>
      <c r="D59" s="7">
        <v>1877.6</v>
      </c>
      <c r="E59" s="7">
        <v>1947.7429999999999</v>
      </c>
      <c r="G59" s="7"/>
      <c r="H59" s="7"/>
      <c r="I59" s="7"/>
      <c r="L59" s="7"/>
      <c r="M59" s="7"/>
    </row>
    <row r="60" spans="1:13" x14ac:dyDescent="0.2">
      <c r="A60" s="3" t="s">
        <v>12</v>
      </c>
      <c r="B60" s="3" t="s">
        <v>5</v>
      </c>
      <c r="C60" s="7">
        <v>1164.7570000000001</v>
      </c>
      <c r="D60" s="7">
        <v>1215.087</v>
      </c>
      <c r="E60" s="7">
        <v>1268.8520000000001</v>
      </c>
      <c r="G60" s="7"/>
      <c r="H60" s="7"/>
      <c r="I60" s="7"/>
      <c r="L60" s="7"/>
      <c r="M60" s="7"/>
    </row>
    <row r="61" spans="1:13" x14ac:dyDescent="0.2">
      <c r="A61" s="3" t="s">
        <v>12</v>
      </c>
      <c r="B61" s="3" t="s">
        <v>6</v>
      </c>
      <c r="C61" s="7">
        <v>1071.508</v>
      </c>
      <c r="D61" s="7">
        <v>1129.682</v>
      </c>
      <c r="E61" s="7">
        <v>1184.453</v>
      </c>
      <c r="G61" s="7"/>
      <c r="H61" s="7"/>
      <c r="I61" s="7"/>
      <c r="L61" s="7"/>
      <c r="M61" s="7"/>
    </row>
    <row r="62" spans="1:13" x14ac:dyDescent="0.2">
      <c r="A62" s="3" t="s">
        <v>12</v>
      </c>
      <c r="B62" s="3" t="s">
        <v>7</v>
      </c>
      <c r="C62" s="7">
        <v>1239.5440000000001</v>
      </c>
      <c r="D62" s="7">
        <v>1299.7159999999999</v>
      </c>
      <c r="E62" s="7">
        <v>1358.758</v>
      </c>
      <c r="G62" s="7"/>
      <c r="H62" s="7"/>
      <c r="I62" s="7"/>
      <c r="L62" s="7"/>
      <c r="M62" s="7"/>
    </row>
    <row r="63" spans="1:13" x14ac:dyDescent="0.2">
      <c r="A63" s="3" t="s">
        <v>12</v>
      </c>
      <c r="B63" s="3" t="s">
        <v>8</v>
      </c>
      <c r="C63" s="7">
        <v>1237.3</v>
      </c>
      <c r="D63" s="7">
        <v>1302.6679999999999</v>
      </c>
      <c r="E63" s="7">
        <v>1375.1020000000001</v>
      </c>
      <c r="G63" s="7"/>
      <c r="H63" s="7"/>
      <c r="I63" s="7"/>
      <c r="L63" s="7"/>
      <c r="M63" s="7"/>
    </row>
    <row r="64" spans="1:13" x14ac:dyDescent="0.2">
      <c r="A64" s="3" t="s">
        <v>13</v>
      </c>
      <c r="B64" s="3" t="s">
        <v>5</v>
      </c>
      <c r="C64" s="7">
        <v>1716.9739999999999</v>
      </c>
      <c r="D64" s="7">
        <v>1767.69</v>
      </c>
      <c r="E64" s="7">
        <v>1820.2070000000001</v>
      </c>
      <c r="G64" s="7"/>
      <c r="H64" s="7"/>
      <c r="I64" s="7"/>
      <c r="L64" s="7"/>
      <c r="M64" s="7"/>
    </row>
    <row r="65" spans="1:13" x14ac:dyDescent="0.2">
      <c r="A65" s="3" t="s">
        <v>13</v>
      </c>
      <c r="B65" s="3" t="s">
        <v>6</v>
      </c>
      <c r="C65" s="7">
        <v>1670.1949999999999</v>
      </c>
      <c r="D65" s="7">
        <v>1746.2059999999999</v>
      </c>
      <c r="E65" s="7">
        <v>1819.57</v>
      </c>
      <c r="G65" s="7"/>
      <c r="H65" s="7"/>
      <c r="I65" s="7"/>
      <c r="L65" s="7"/>
      <c r="M65" s="7"/>
    </row>
    <row r="66" spans="1:13" x14ac:dyDescent="0.2">
      <c r="A66" s="3" t="s">
        <v>13</v>
      </c>
      <c r="B66" s="3" t="s">
        <v>7</v>
      </c>
      <c r="C66" s="7">
        <v>1751.261</v>
      </c>
      <c r="D66" s="7">
        <v>1799.279</v>
      </c>
      <c r="E66" s="7">
        <v>1845.556</v>
      </c>
      <c r="G66" s="7"/>
      <c r="H66" s="7"/>
      <c r="I66" s="7"/>
      <c r="L66" s="7"/>
      <c r="M66" s="7"/>
    </row>
    <row r="67" spans="1:13" x14ac:dyDescent="0.2">
      <c r="A67" s="3" t="s">
        <v>13</v>
      </c>
      <c r="B67" s="3" t="s">
        <v>8</v>
      </c>
      <c r="C67" s="7">
        <v>1722.155</v>
      </c>
      <c r="D67" s="7">
        <v>1788.047</v>
      </c>
      <c r="E67" s="7">
        <v>1855.4880000000001</v>
      </c>
      <c r="G67" s="7"/>
      <c r="H67" s="7"/>
      <c r="I67" s="7"/>
      <c r="L67" s="7"/>
      <c r="M67" s="7"/>
    </row>
    <row r="69" spans="1:13" ht="45" x14ac:dyDescent="0.2">
      <c r="A69" s="11" t="s">
        <v>0</v>
      </c>
      <c r="B69" s="11" t="s">
        <v>17</v>
      </c>
      <c r="C69" s="50" t="s">
        <v>107</v>
      </c>
      <c r="D69" s="50" t="s">
        <v>109</v>
      </c>
      <c r="E69" s="50" t="s">
        <v>108</v>
      </c>
    </row>
    <row r="70" spans="1:13" x14ac:dyDescent="0.2">
      <c r="A70" s="11"/>
      <c r="B70" s="11"/>
      <c r="C70" s="12" t="s">
        <v>14</v>
      </c>
      <c r="D70" s="12" t="s">
        <v>14</v>
      </c>
      <c r="E70" s="12" t="s">
        <v>14</v>
      </c>
    </row>
    <row r="71" spans="1:13" x14ac:dyDescent="0.2">
      <c r="A71" s="3" t="s">
        <v>4</v>
      </c>
      <c r="B71" s="3" t="s">
        <v>5</v>
      </c>
      <c r="C71" s="45">
        <v>32.109220000000001</v>
      </c>
      <c r="D71" s="45">
        <v>33.151719999999997</v>
      </c>
      <c r="E71" s="45">
        <v>34.204689999999999</v>
      </c>
    </row>
    <row r="72" spans="1:13" x14ac:dyDescent="0.2">
      <c r="A72" s="3" t="s">
        <v>4</v>
      </c>
      <c r="B72" s="3" t="s">
        <v>6</v>
      </c>
      <c r="C72" s="45">
        <v>30.761790000000001</v>
      </c>
      <c r="D72" s="45">
        <v>31.785710000000002</v>
      </c>
      <c r="E72" s="45">
        <v>32.932079999999999</v>
      </c>
    </row>
    <row r="73" spans="1:13" x14ac:dyDescent="0.2">
      <c r="A73" s="3" t="s">
        <v>4</v>
      </c>
      <c r="B73" s="3" t="s">
        <v>7</v>
      </c>
      <c r="C73" s="45">
        <v>32.717370000000003</v>
      </c>
      <c r="D73" s="45">
        <v>33.605060000000002</v>
      </c>
      <c r="E73" s="45">
        <v>34.497140000000002</v>
      </c>
    </row>
    <row r="74" spans="1:13" x14ac:dyDescent="0.2">
      <c r="A74" s="3" t="s">
        <v>4</v>
      </c>
      <c r="B74" s="3" t="s">
        <v>8</v>
      </c>
      <c r="C74" s="45">
        <v>29.52534</v>
      </c>
      <c r="D74" s="45">
        <v>31.138380000000002</v>
      </c>
      <c r="E74" s="45">
        <v>32.754689999999997</v>
      </c>
    </row>
    <row r="75" spans="1:13" x14ac:dyDescent="0.2">
      <c r="A75" s="3" t="s">
        <v>9</v>
      </c>
      <c r="B75" s="3" t="s">
        <v>5</v>
      </c>
      <c r="C75" s="45">
        <v>33.826779999999999</v>
      </c>
      <c r="D75" s="45">
        <v>37.98207</v>
      </c>
      <c r="E75" s="45">
        <v>43.372750000000003</v>
      </c>
    </row>
    <row r="76" spans="1:13" x14ac:dyDescent="0.2">
      <c r="A76" s="3" t="s">
        <v>9</v>
      </c>
      <c r="B76" s="3" t="s">
        <v>6</v>
      </c>
      <c r="C76" s="45">
        <v>36.01191</v>
      </c>
      <c r="D76" s="45">
        <v>42.36233</v>
      </c>
      <c r="E76" s="45">
        <v>50.937519999999999</v>
      </c>
    </row>
    <row r="77" spans="1:13" x14ac:dyDescent="0.2">
      <c r="A77" s="3" t="s">
        <v>9</v>
      </c>
      <c r="B77" s="3" t="s">
        <v>7</v>
      </c>
      <c r="C77" s="45">
        <v>30.23987</v>
      </c>
      <c r="D77" s="45">
        <v>32.88514</v>
      </c>
      <c r="E77" s="45">
        <v>36.218539999999997</v>
      </c>
    </row>
    <row r="78" spans="1:13" x14ac:dyDescent="0.2">
      <c r="A78" s="3" t="s">
        <v>9</v>
      </c>
      <c r="B78" s="3" t="s">
        <v>8</v>
      </c>
      <c r="C78" s="45">
        <v>25.51398</v>
      </c>
      <c r="D78" s="45">
        <v>28.347899999999999</v>
      </c>
      <c r="E78" s="45">
        <v>31.609580000000001</v>
      </c>
    </row>
    <row r="79" spans="1:13" x14ac:dyDescent="0.2">
      <c r="A79" s="3" t="s">
        <v>10</v>
      </c>
      <c r="B79" s="3" t="s">
        <v>5</v>
      </c>
      <c r="C79" s="45">
        <v>48.240099999999998</v>
      </c>
      <c r="D79" s="45">
        <v>49.946910000000003</v>
      </c>
      <c r="E79" s="45">
        <v>51.767200000000003</v>
      </c>
    </row>
    <row r="80" spans="1:13" x14ac:dyDescent="0.2">
      <c r="A80" s="3" t="s">
        <v>10</v>
      </c>
      <c r="B80" s="3" t="s">
        <v>6</v>
      </c>
      <c r="C80" s="45">
        <v>47.888089999999998</v>
      </c>
      <c r="D80" s="45">
        <v>49.869450000000001</v>
      </c>
      <c r="E80" s="45">
        <v>52.071370000000002</v>
      </c>
    </row>
    <row r="81" spans="1:9" x14ac:dyDescent="0.2">
      <c r="A81" s="3" t="s">
        <v>10</v>
      </c>
      <c r="B81" s="3" t="s">
        <v>7</v>
      </c>
      <c r="C81" s="45">
        <v>48.104469999999999</v>
      </c>
      <c r="D81" s="45">
        <v>49.686360000000001</v>
      </c>
      <c r="E81" s="45">
        <v>51.3399</v>
      </c>
    </row>
    <row r="82" spans="1:9" x14ac:dyDescent="0.2">
      <c r="A82" s="3" t="s">
        <v>10</v>
      </c>
      <c r="B82" s="3" t="s">
        <v>8</v>
      </c>
      <c r="C82" s="45">
        <v>43.041870000000003</v>
      </c>
      <c r="D82" s="45">
        <v>45.018169999999998</v>
      </c>
      <c r="E82" s="45">
        <v>47.123809999999999</v>
      </c>
      <c r="G82" s="46"/>
      <c r="H82" s="46"/>
      <c r="I82" s="46"/>
    </row>
    <row r="83" spans="1:9" x14ac:dyDescent="0.2">
      <c r="A83" s="3" t="s">
        <v>11</v>
      </c>
      <c r="B83" s="3" t="s">
        <v>5</v>
      </c>
      <c r="C83" s="45">
        <v>35.541020000000003</v>
      </c>
      <c r="D83" s="45">
        <v>36.545389999999998</v>
      </c>
      <c r="E83" s="45">
        <v>37.507660000000001</v>
      </c>
      <c r="G83" s="6"/>
      <c r="H83" s="6"/>
      <c r="I83" s="6"/>
    </row>
    <row r="84" spans="1:9" x14ac:dyDescent="0.2">
      <c r="A84" s="3" t="s">
        <v>11</v>
      </c>
      <c r="B84" s="3" t="s">
        <v>6</v>
      </c>
      <c r="C84" s="45">
        <v>36.280540000000002</v>
      </c>
      <c r="D84" s="45">
        <v>37.40146</v>
      </c>
      <c r="E84" s="45">
        <v>38.539430000000003</v>
      </c>
    </row>
    <row r="85" spans="1:9" x14ac:dyDescent="0.2">
      <c r="A85" s="3" t="s">
        <v>11</v>
      </c>
      <c r="B85" s="3" t="s">
        <v>7</v>
      </c>
      <c r="C85" s="45">
        <v>34.408549999999998</v>
      </c>
      <c r="D85" s="45">
        <v>35.167990000000003</v>
      </c>
      <c r="E85" s="45">
        <v>35.956980000000001</v>
      </c>
    </row>
    <row r="86" spans="1:9" x14ac:dyDescent="0.2">
      <c r="A86" s="3" t="s">
        <v>11</v>
      </c>
      <c r="B86" s="3" t="s">
        <v>8</v>
      </c>
      <c r="C86" s="45">
        <v>30.309539999999998</v>
      </c>
      <c r="D86" s="45">
        <v>31.45431</v>
      </c>
      <c r="E86" s="45">
        <v>32.650770000000001</v>
      </c>
    </row>
    <row r="87" spans="1:9" x14ac:dyDescent="0.2">
      <c r="A87" s="3" t="s">
        <v>12</v>
      </c>
      <c r="B87" s="3" t="s">
        <v>5</v>
      </c>
      <c r="C87" s="45">
        <v>47.769750000000002</v>
      </c>
      <c r="D87" s="45">
        <v>49.32141</v>
      </c>
      <c r="E87" s="45">
        <v>50.891100000000002</v>
      </c>
    </row>
    <row r="88" spans="1:9" x14ac:dyDescent="0.2">
      <c r="A88" s="3" t="s">
        <v>12</v>
      </c>
      <c r="B88" s="3" t="s">
        <v>6</v>
      </c>
      <c r="C88" s="45">
        <v>47.964120000000001</v>
      </c>
      <c r="D88" s="45">
        <v>49.806489999999997</v>
      </c>
      <c r="E88" s="45">
        <v>51.715809999999998</v>
      </c>
    </row>
    <row r="89" spans="1:9" x14ac:dyDescent="0.2">
      <c r="A89" s="3" t="s">
        <v>12</v>
      </c>
      <c r="B89" s="3" t="s">
        <v>7</v>
      </c>
      <c r="C89" s="45">
        <v>47.677579999999999</v>
      </c>
      <c r="D89" s="45">
        <v>49.077010000000001</v>
      </c>
      <c r="E89" s="45">
        <v>50.548569999999998</v>
      </c>
    </row>
    <row r="90" spans="1:9" x14ac:dyDescent="0.2">
      <c r="A90" s="3" t="s">
        <v>12</v>
      </c>
      <c r="B90" s="3" t="s">
        <v>8</v>
      </c>
      <c r="C90" s="45">
        <v>42.734999999999999</v>
      </c>
      <c r="D90" s="45">
        <v>44.751159999999999</v>
      </c>
      <c r="E90" s="45">
        <v>46.841189999999997</v>
      </c>
    </row>
    <row r="91" spans="1:9" x14ac:dyDescent="0.2">
      <c r="A91" s="3" t="s">
        <v>13</v>
      </c>
      <c r="B91" s="3" t="s">
        <v>5</v>
      </c>
      <c r="C91" s="45">
        <v>45.438580000000002</v>
      </c>
      <c r="D91" s="45">
        <v>46.892829999999996</v>
      </c>
      <c r="E91" s="45">
        <v>48.416939999999997</v>
      </c>
    </row>
    <row r="92" spans="1:9" x14ac:dyDescent="0.2">
      <c r="A92" s="3" t="s">
        <v>13</v>
      </c>
      <c r="B92" s="3" t="s">
        <v>6</v>
      </c>
      <c r="C92" s="45">
        <v>46.689529999999998</v>
      </c>
      <c r="D92" s="45">
        <v>48.889949999999999</v>
      </c>
      <c r="E92" s="45">
        <v>51.394910000000003</v>
      </c>
    </row>
    <row r="93" spans="1:9" x14ac:dyDescent="0.2">
      <c r="A93" s="3" t="s">
        <v>13</v>
      </c>
      <c r="B93" s="3" t="s">
        <v>7</v>
      </c>
      <c r="C93" s="45">
        <v>44.492460000000001</v>
      </c>
      <c r="D93" s="45">
        <v>45.687309999999997</v>
      </c>
      <c r="E93" s="45">
        <v>47.00497</v>
      </c>
    </row>
    <row r="94" spans="1:9" x14ac:dyDescent="0.2">
      <c r="A94" s="3" t="s">
        <v>13</v>
      </c>
      <c r="B94" s="3" t="s">
        <v>8</v>
      </c>
      <c r="C94" s="45">
        <v>39.847119999999997</v>
      </c>
      <c r="D94" s="45">
        <v>41.389560000000003</v>
      </c>
      <c r="E94" s="45">
        <v>43.12229</v>
      </c>
    </row>
    <row r="96" spans="1:9" x14ac:dyDescent="0.2">
      <c r="A96" s="13" t="s">
        <v>54</v>
      </c>
    </row>
    <row r="97" spans="1:10" x14ac:dyDescent="0.2">
      <c r="C97" s="11" t="s">
        <v>47</v>
      </c>
      <c r="D97" s="11" t="s">
        <v>48</v>
      </c>
    </row>
    <row r="98" spans="1:10" x14ac:dyDescent="0.2">
      <c r="A98" s="2" t="s">
        <v>4</v>
      </c>
      <c r="B98" s="43" t="s">
        <v>51</v>
      </c>
      <c r="C98" s="29">
        <v>0.44541999999999998</v>
      </c>
      <c r="D98" s="29">
        <v>0.39212999999999998</v>
      </c>
      <c r="I98" s="9"/>
      <c r="J98" s="9"/>
    </row>
    <row r="99" spans="1:10" x14ac:dyDescent="0.2">
      <c r="A99" s="2" t="s">
        <v>4</v>
      </c>
      <c r="B99" s="43" t="s">
        <v>6</v>
      </c>
      <c r="C99" s="29">
        <v>0.26917999999999997</v>
      </c>
      <c r="D99" s="29">
        <v>0.20662</v>
      </c>
      <c r="I99" s="9"/>
    </row>
    <row r="100" spans="1:10" x14ac:dyDescent="0.2">
      <c r="A100" s="2" t="s">
        <v>4</v>
      </c>
      <c r="B100" s="43" t="s">
        <v>50</v>
      </c>
      <c r="C100" s="29">
        <v>0.11362</v>
      </c>
      <c r="D100" s="29">
        <v>9.0328000000000006E-2</v>
      </c>
      <c r="I100" s="9"/>
    </row>
    <row r="101" spans="1:10" x14ac:dyDescent="0.2">
      <c r="A101" s="2" t="s">
        <v>4</v>
      </c>
      <c r="B101" s="43" t="s">
        <v>8</v>
      </c>
      <c r="C101" s="29">
        <v>0.22513</v>
      </c>
      <c r="D101" s="29">
        <v>0.21704999999999999</v>
      </c>
      <c r="I101" s="9"/>
    </row>
    <row r="102" spans="1:10" x14ac:dyDescent="0.2">
      <c r="A102" s="2" t="s">
        <v>9</v>
      </c>
      <c r="B102" s="43" t="s">
        <v>51</v>
      </c>
      <c r="C102" s="29">
        <v>0.40588000000000002</v>
      </c>
      <c r="D102" s="29">
        <v>0.39199000000000001</v>
      </c>
      <c r="I102" s="9"/>
    </row>
    <row r="103" spans="1:10" x14ac:dyDescent="0.2">
      <c r="A103" s="2" t="s">
        <v>9</v>
      </c>
      <c r="B103" s="43" t="s">
        <v>6</v>
      </c>
      <c r="C103" s="29">
        <v>0.26013999999999998</v>
      </c>
      <c r="D103" s="29">
        <v>0.20449999999999999</v>
      </c>
      <c r="I103" s="9"/>
    </row>
    <row r="104" spans="1:10" x14ac:dyDescent="0.2">
      <c r="A104" s="2" t="s">
        <v>9</v>
      </c>
      <c r="B104" s="43" t="s">
        <v>50</v>
      </c>
      <c r="C104" s="29">
        <v>9.9206000000000003E-2</v>
      </c>
      <c r="D104" s="29">
        <v>9.0342000000000006E-2</v>
      </c>
    </row>
    <row r="105" spans="1:10" x14ac:dyDescent="0.2">
      <c r="A105" s="2" t="s">
        <v>9</v>
      </c>
      <c r="B105" s="43" t="s">
        <v>8</v>
      </c>
      <c r="C105" s="29">
        <v>0.26057999999999998</v>
      </c>
      <c r="D105" s="29">
        <v>0.34651999999999999</v>
      </c>
    </row>
    <row r="106" spans="1:10" x14ac:dyDescent="0.2">
      <c r="A106" s="2" t="s">
        <v>10</v>
      </c>
      <c r="B106" s="43" t="s">
        <v>51</v>
      </c>
      <c r="C106" s="29">
        <v>0.46172999999999997</v>
      </c>
      <c r="D106" s="29">
        <v>0.39199000000000001</v>
      </c>
    </row>
    <row r="107" spans="1:10" x14ac:dyDescent="0.2">
      <c r="A107" s="2" t="s">
        <v>10</v>
      </c>
      <c r="B107" s="43" t="s">
        <v>6</v>
      </c>
      <c r="C107" s="29">
        <v>0.20560999999999999</v>
      </c>
      <c r="D107" s="29">
        <v>0.14187</v>
      </c>
    </row>
    <row r="108" spans="1:10" x14ac:dyDescent="0.2">
      <c r="A108" s="2" t="s">
        <v>10</v>
      </c>
      <c r="B108" s="43" t="s">
        <v>50</v>
      </c>
      <c r="C108" s="29">
        <v>0.10817</v>
      </c>
      <c r="D108" s="29">
        <v>9.0326000000000004E-2</v>
      </c>
    </row>
    <row r="109" spans="1:10" x14ac:dyDescent="0.2">
      <c r="A109" s="2" t="s">
        <v>10</v>
      </c>
      <c r="B109" s="43" t="s">
        <v>8</v>
      </c>
      <c r="C109" s="29">
        <v>0.39367999999999997</v>
      </c>
      <c r="D109" s="29">
        <v>0.38456000000000001</v>
      </c>
    </row>
    <row r="110" spans="1:10" x14ac:dyDescent="0.2">
      <c r="A110" s="2" t="s">
        <v>11</v>
      </c>
      <c r="B110" s="43" t="s">
        <v>51</v>
      </c>
      <c r="C110" s="29">
        <v>0.43885999999999997</v>
      </c>
      <c r="D110" s="29">
        <v>0.39199000000000001</v>
      </c>
    </row>
    <row r="111" spans="1:10" x14ac:dyDescent="0.2">
      <c r="A111" s="2" t="s">
        <v>11</v>
      </c>
      <c r="B111" s="43" t="s">
        <v>6</v>
      </c>
      <c r="C111" s="29">
        <v>0.23816999999999999</v>
      </c>
      <c r="D111" s="29">
        <v>0.17562</v>
      </c>
    </row>
    <row r="112" spans="1:10" x14ac:dyDescent="0.2">
      <c r="A112" s="2" t="s">
        <v>11</v>
      </c>
      <c r="B112" s="43" t="s">
        <v>50</v>
      </c>
      <c r="C112" s="29">
        <v>0.10517</v>
      </c>
      <c r="D112" s="29">
        <v>9.0343000000000007E-2</v>
      </c>
    </row>
    <row r="113" spans="1:6" x14ac:dyDescent="0.2">
      <c r="A113" s="2" t="s">
        <v>11</v>
      </c>
      <c r="B113" s="43" t="s">
        <v>8</v>
      </c>
      <c r="C113" s="29">
        <v>0.28895999999999999</v>
      </c>
      <c r="D113" s="29">
        <v>0.32655000000000001</v>
      </c>
    </row>
    <row r="114" spans="1:6" x14ac:dyDescent="0.2">
      <c r="A114" s="2" t="s">
        <v>12</v>
      </c>
      <c r="B114" s="43" t="s">
        <v>51</v>
      </c>
      <c r="C114" s="29">
        <v>0.45289000000000001</v>
      </c>
      <c r="D114" s="29">
        <v>0.39198</v>
      </c>
    </row>
    <row r="115" spans="1:6" x14ac:dyDescent="0.2">
      <c r="A115" s="2" t="s">
        <v>12</v>
      </c>
      <c r="B115" s="43" t="s">
        <v>6</v>
      </c>
      <c r="C115" s="29">
        <v>0.20726</v>
      </c>
      <c r="D115" s="29">
        <v>0.14013999999999999</v>
      </c>
    </row>
    <row r="116" spans="1:6" x14ac:dyDescent="0.2">
      <c r="A116" s="2" t="s">
        <v>12</v>
      </c>
      <c r="B116" s="43" t="s">
        <v>50</v>
      </c>
      <c r="C116" s="29">
        <v>0.10580000000000001</v>
      </c>
      <c r="D116" s="29">
        <v>9.0341000000000005E-2</v>
      </c>
      <c r="F116" s="6"/>
    </row>
    <row r="117" spans="1:6" x14ac:dyDescent="0.2">
      <c r="A117" s="2" t="s">
        <v>12</v>
      </c>
      <c r="B117" s="43" t="s">
        <v>8</v>
      </c>
      <c r="C117" s="29">
        <v>0.34982000000000002</v>
      </c>
      <c r="D117" s="29">
        <v>0.36087000000000002</v>
      </c>
    </row>
    <row r="118" spans="1:6" x14ac:dyDescent="0.2">
      <c r="A118" s="2" t="s">
        <v>13</v>
      </c>
      <c r="B118" s="43" t="s">
        <v>51</v>
      </c>
      <c r="C118" s="29">
        <v>0.44706000000000001</v>
      </c>
      <c r="D118" s="29">
        <v>0.39195000000000002</v>
      </c>
    </row>
    <row r="119" spans="1:6" x14ac:dyDescent="0.2">
      <c r="A119" s="2" t="s">
        <v>13</v>
      </c>
      <c r="B119" s="43" t="s">
        <v>6</v>
      </c>
      <c r="C119" s="29">
        <v>0.19237000000000001</v>
      </c>
      <c r="D119" s="29">
        <v>0.13513</v>
      </c>
    </row>
    <row r="120" spans="1:6" x14ac:dyDescent="0.2">
      <c r="A120" s="2" t="s">
        <v>13</v>
      </c>
      <c r="B120" s="43" t="s">
        <v>50</v>
      </c>
      <c r="C120" s="29">
        <v>0.10764</v>
      </c>
      <c r="D120" s="29">
        <v>9.0334999999999999E-2</v>
      </c>
    </row>
    <row r="121" spans="1:6" x14ac:dyDescent="0.2">
      <c r="A121" s="2" t="s">
        <v>13</v>
      </c>
      <c r="B121" s="43" t="s">
        <v>8</v>
      </c>
      <c r="C121" s="29">
        <v>0.36119000000000001</v>
      </c>
      <c r="D121" s="29">
        <v>0.36151</v>
      </c>
    </row>
    <row r="123" spans="1:6" x14ac:dyDescent="0.2">
      <c r="A123" s="13" t="s">
        <v>64</v>
      </c>
    </row>
    <row r="124" spans="1:6" x14ac:dyDescent="0.2">
      <c r="A124" s="11" t="s">
        <v>63</v>
      </c>
      <c r="B124" s="11" t="s">
        <v>117</v>
      </c>
      <c r="C124" s="11"/>
    </row>
    <row r="125" spans="1:6" x14ac:dyDescent="0.2">
      <c r="A125" s="3" t="s">
        <v>4</v>
      </c>
      <c r="B125" s="28">
        <v>26400</v>
      </c>
    </row>
    <row r="126" spans="1:6" x14ac:dyDescent="0.2">
      <c r="A126" s="3" t="s">
        <v>9</v>
      </c>
      <c r="B126" s="28">
        <v>0</v>
      </c>
    </row>
    <row r="127" spans="1:6" x14ac:dyDescent="0.2">
      <c r="A127" s="3" t="s">
        <v>10</v>
      </c>
      <c r="B127" s="28">
        <v>48600</v>
      </c>
    </row>
    <row r="128" spans="1:6" x14ac:dyDescent="0.2">
      <c r="A128" s="3" t="s">
        <v>11</v>
      </c>
      <c r="B128" s="28">
        <v>39015</v>
      </c>
    </row>
    <row r="129" spans="1:2" x14ac:dyDescent="0.2">
      <c r="A129" s="3" t="s">
        <v>12</v>
      </c>
      <c r="B129" s="28">
        <v>12617</v>
      </c>
    </row>
    <row r="130" spans="1:2" x14ac:dyDescent="0.2">
      <c r="A130" s="3" t="s">
        <v>13</v>
      </c>
      <c r="B130" s="28">
        <v>36591</v>
      </c>
    </row>
  </sheetData>
  <sortState ref="A100:D123">
    <sortCondition ref="A100:A123"/>
    <sortCondition ref="B100:B123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1"/>
  <sheetViews>
    <sheetView workbookViewId="0">
      <selection activeCell="D30" sqref="D30"/>
    </sheetView>
  </sheetViews>
  <sheetFormatPr baseColWidth="10" defaultColWidth="8.83203125" defaultRowHeight="15" x14ac:dyDescent="0.2"/>
  <cols>
    <col min="1" max="1" width="9.5" style="3" bestFit="1" customWidth="1"/>
    <col min="2" max="2" width="10.83203125" style="3" bestFit="1" customWidth="1"/>
    <col min="3" max="3" width="24.33203125" style="7" bestFit="1" customWidth="1"/>
    <col min="4" max="4" width="27" style="7" customWidth="1"/>
    <col min="5" max="5" width="24.6640625" style="7" customWidth="1"/>
    <col min="6" max="6" width="35.6640625" style="7" bestFit="1" customWidth="1"/>
    <col min="7" max="7" width="26" style="7" bestFit="1" customWidth="1"/>
    <col min="8" max="8" width="9.33203125" style="7" bestFit="1" customWidth="1"/>
    <col min="9" max="9" width="9.5" style="3" bestFit="1" customWidth="1"/>
    <col min="10" max="16384" width="8.83203125" style="3"/>
  </cols>
  <sheetData>
    <row r="1" spans="1:10" s="11" customFormat="1" x14ac:dyDescent="0.2">
      <c r="A1" s="11" t="s">
        <v>0</v>
      </c>
      <c r="B1" s="11" t="s">
        <v>17</v>
      </c>
      <c r="C1" s="12" t="s">
        <v>18</v>
      </c>
      <c r="D1" s="12" t="s">
        <v>21</v>
      </c>
      <c r="E1" s="12" t="s">
        <v>2</v>
      </c>
      <c r="F1" s="12" t="s">
        <v>1</v>
      </c>
      <c r="G1" s="12" t="s">
        <v>3</v>
      </c>
    </row>
    <row r="2" spans="1:10" s="11" customFormat="1" x14ac:dyDescent="0.2">
      <c r="C2" s="12" t="s">
        <v>14</v>
      </c>
      <c r="D2" s="12" t="s">
        <v>14</v>
      </c>
      <c r="E2" s="12" t="s">
        <v>14</v>
      </c>
      <c r="F2" s="12" t="s">
        <v>62</v>
      </c>
      <c r="G2" s="12" t="s">
        <v>16</v>
      </c>
    </row>
    <row r="3" spans="1:10" s="39" customFormat="1" x14ac:dyDescent="0.2">
      <c r="A3" s="39" t="s">
        <v>4</v>
      </c>
      <c r="B3" s="39" t="s">
        <v>51</v>
      </c>
      <c r="C3" s="40">
        <f>VLOOKUP(A3,Com_Light_Costs,2,0)</f>
        <v>4.3935743126549553</v>
      </c>
      <c r="D3" s="40">
        <f>(VLOOKUP(Results!A3,Inputs!$A$125:$B$130,2,0)*Inputs!C98)/(8760*Inputs!D98)/(1-Line_losses)</f>
        <v>3.6286520859555598</v>
      </c>
      <c r="E3" s="40">
        <f>Inputs!D71</f>
        <v>33.151719999999997</v>
      </c>
      <c r="F3" s="42">
        <f>Inputs!D44/pounds_per_ton/(1-Line_losses)</f>
        <v>0.47961692800000005</v>
      </c>
      <c r="G3" s="41">
        <f>(C3-E3-D3)/F3</f>
        <v>-67.526385918765143</v>
      </c>
      <c r="I3" s="40"/>
      <c r="J3" s="44"/>
    </row>
    <row r="4" spans="1:10" s="39" customFormat="1" x14ac:dyDescent="0.2">
      <c r="A4" s="39" t="s">
        <v>4</v>
      </c>
      <c r="B4" s="39" t="s">
        <v>49</v>
      </c>
      <c r="C4" s="40">
        <f>VLOOKUP(A4,Solar_Costs,5,0)</f>
        <v>90.736695609961643</v>
      </c>
      <c r="D4" s="40">
        <f>(VLOOKUP(Results!A4,Inputs!$A$125:$B$130,2,0)*Inputs!C99)/(8760*Inputs!D99)</f>
        <v>3.9261804145788108</v>
      </c>
      <c r="E4" s="40">
        <f>Inputs!D72</f>
        <v>31.785710000000002</v>
      </c>
      <c r="F4" s="42">
        <f>Inputs!D45/pounds_per_ton</f>
        <v>0.45261435</v>
      </c>
      <c r="G4" s="41">
        <f t="shared" ref="G4:G26" si="0">(C4-E4-D4)/F4</f>
        <v>121.57105755790295</v>
      </c>
      <c r="I4" s="40"/>
    </row>
    <row r="5" spans="1:10" s="39" customFormat="1" x14ac:dyDescent="0.2">
      <c r="A5" s="39" t="s">
        <v>4</v>
      </c>
      <c r="B5" s="39" t="s">
        <v>50</v>
      </c>
      <c r="C5" s="40">
        <f>VLOOKUP(A5,Res_Light_Costs,2,0)</f>
        <v>26.930471938319169</v>
      </c>
      <c r="D5" s="40">
        <f>(VLOOKUP(Results!A5,Inputs!$A$125:$B$130,2,0)*Inputs!C100)/(8760*Inputs!D100)/(1-Line_losses)</f>
        <v>4.0182603916563444</v>
      </c>
      <c r="E5" s="40">
        <f>Inputs!D73</f>
        <v>33.605060000000002</v>
      </c>
      <c r="F5" s="42">
        <f>Inputs!D46/pounds_per_ton/(1-Line_losses)</f>
        <v>0.47509836000000005</v>
      </c>
      <c r="G5" s="41">
        <f t="shared" si="0"/>
        <v>-22.506599377310366</v>
      </c>
      <c r="I5" s="40"/>
    </row>
    <row r="6" spans="1:10" s="39" customFormat="1" x14ac:dyDescent="0.2">
      <c r="A6" s="39" t="s">
        <v>4</v>
      </c>
      <c r="B6" s="39" t="s">
        <v>8</v>
      </c>
      <c r="C6" s="40">
        <f>VLOOKUP(A6,Wind_Costs,2,0)</f>
        <v>80.5225528</v>
      </c>
      <c r="D6" s="40">
        <f>(VLOOKUP(Results!A6,Inputs!$A$125:$B$130,2,0)*Inputs!C101)/(8760*Inputs!D101)</f>
        <v>3.125887918003869</v>
      </c>
      <c r="E6" s="40">
        <f>Inputs!D74</f>
        <v>31.138380000000002</v>
      </c>
      <c r="F6" s="42">
        <f>Inputs!D47/pounds_per_ton</f>
        <v>0.44640415</v>
      </c>
      <c r="G6" s="41">
        <f t="shared" si="0"/>
        <v>103.62422679537396</v>
      </c>
      <c r="I6" s="40"/>
    </row>
    <row r="7" spans="1:10" s="39" customFormat="1" x14ac:dyDescent="0.2">
      <c r="A7" s="39" t="s">
        <v>9</v>
      </c>
      <c r="B7" s="39" t="s">
        <v>51</v>
      </c>
      <c r="C7" s="40">
        <f>VLOOKUP(A7,Com_Light_Costs,2,0)</f>
        <v>4.3935743126549553</v>
      </c>
      <c r="D7" s="40">
        <f>(VLOOKUP(Results!A7,Inputs!$A$125:$B$130,2,0)*Inputs!C102)/(8760*Inputs!D102)/(1-Line_losses)</f>
        <v>0</v>
      </c>
      <c r="E7" s="40">
        <f>Inputs!D75</f>
        <v>37.98207</v>
      </c>
      <c r="F7" s="42">
        <f>Inputs!D48/pounds_per_ton/(1-Line_losses)</f>
        <v>0.70104902000000002</v>
      </c>
      <c r="G7" s="41">
        <f t="shared" si="0"/>
        <v>-47.911764697060761</v>
      </c>
      <c r="I7" s="40"/>
    </row>
    <row r="8" spans="1:10" s="39" customFormat="1" x14ac:dyDescent="0.2">
      <c r="A8" s="39" t="s">
        <v>9</v>
      </c>
      <c r="B8" s="39" t="s">
        <v>49</v>
      </c>
      <c r="C8" s="40">
        <f>VLOOKUP(A8,Solar_Costs,5,0)</f>
        <v>91.677340082788632</v>
      </c>
      <c r="D8" s="40">
        <f>(VLOOKUP(Results!A8,Inputs!$A$125:$B$130,2,0)*Inputs!C103)/(8760*Inputs!D103)</f>
        <v>0</v>
      </c>
      <c r="E8" s="40">
        <f>Inputs!D76</f>
        <v>42.36233</v>
      </c>
      <c r="F8" s="42">
        <f>Inputs!D49/pounds_per_ton</f>
        <v>0.62713450000000004</v>
      </c>
      <c r="G8" s="41">
        <f t="shared" si="0"/>
        <v>78.635460308416498</v>
      </c>
      <c r="I8" s="40"/>
    </row>
    <row r="9" spans="1:10" s="39" customFormat="1" x14ac:dyDescent="0.2">
      <c r="A9" s="39" t="s">
        <v>9</v>
      </c>
      <c r="B9" s="39" t="s">
        <v>50</v>
      </c>
      <c r="C9" s="40">
        <f>VLOOKUP(A9,Res_Light_Costs,2,0)</f>
        <v>26.930471938319169</v>
      </c>
      <c r="D9" s="40">
        <f>(VLOOKUP(Results!A9,Inputs!$A$125:$B$130,2,0)*Inputs!C104)/(8760*Inputs!D104)/(1-Line_losses)</f>
        <v>0</v>
      </c>
      <c r="E9" s="40">
        <f>Inputs!D77</f>
        <v>32.88514</v>
      </c>
      <c r="F9" s="42">
        <f>Inputs!D50/pounds_per_ton/(1-Line_losses)</f>
        <v>0.71455925000000009</v>
      </c>
      <c r="G9" s="41">
        <f t="shared" si="0"/>
        <v>-8.3333440322560097</v>
      </c>
      <c r="I9" s="40"/>
    </row>
    <row r="10" spans="1:10" s="39" customFormat="1" x14ac:dyDescent="0.2">
      <c r="A10" s="39" t="s">
        <v>9</v>
      </c>
      <c r="B10" s="39" t="s">
        <v>8</v>
      </c>
      <c r="C10" s="40">
        <f>VLOOKUP(A10,Wind_Costs,2,0)</f>
        <v>43.593619599999997</v>
      </c>
      <c r="D10" s="40">
        <f>(VLOOKUP(Results!A10,Inputs!$A$125:$B$130,2,0)*Inputs!C105)/(8760*Inputs!D105)</f>
        <v>0</v>
      </c>
      <c r="E10" s="40">
        <f>Inputs!D78</f>
        <v>28.347899999999999</v>
      </c>
      <c r="F10" s="42">
        <f>Inputs!D51/pounds_per_ton</f>
        <v>0.70006800000000002</v>
      </c>
      <c r="G10" s="41">
        <f t="shared" si="0"/>
        <v>21.777483901563844</v>
      </c>
      <c r="I10" s="40"/>
    </row>
    <row r="11" spans="1:10" s="39" customFormat="1" x14ac:dyDescent="0.2">
      <c r="A11" s="39" t="s">
        <v>10</v>
      </c>
      <c r="B11" s="39" t="s">
        <v>51</v>
      </c>
      <c r="C11" s="40">
        <f>VLOOKUP(A11,Com_Light_Costs,2,0)</f>
        <v>4.3935743126549553</v>
      </c>
      <c r="D11" s="40">
        <f>(VLOOKUP(Results!A11,Inputs!$A$125:$B$130,2,0)*Inputs!C106)/(8760*Inputs!D106)/(1-Line_losses)</f>
        <v>6.9270948343314593</v>
      </c>
      <c r="E11" s="40">
        <f>Inputs!D79</f>
        <v>49.946910000000003</v>
      </c>
      <c r="F11" s="42">
        <f>Inputs!D52/pounds_per_ton/(1-Line_losses)</f>
        <v>0.67129322999999996</v>
      </c>
      <c r="G11" s="41">
        <f t="shared" si="0"/>
        <v>-78.178101873121093</v>
      </c>
      <c r="I11" s="40"/>
      <c r="J11" s="44"/>
    </row>
    <row r="12" spans="1:10" s="39" customFormat="1" x14ac:dyDescent="0.2">
      <c r="A12" s="39" t="s">
        <v>10</v>
      </c>
      <c r="B12" s="39" t="s">
        <v>49</v>
      </c>
      <c r="C12" s="40">
        <f>VLOOKUP(A12,Solar_Costs,5,0)</f>
        <v>132.14926374096197</v>
      </c>
      <c r="D12" s="40">
        <f>(VLOOKUP(Results!A12,Inputs!$A$125:$B$130,2,0)*Inputs!C107)/(8760*Inputs!D107)</f>
        <v>8.0405513054107995</v>
      </c>
      <c r="E12" s="40">
        <f>Inputs!D80</f>
        <v>49.869450000000001</v>
      </c>
      <c r="F12" s="42">
        <f>Inputs!D53/pounds_per_ton</f>
        <v>0.64742999999999995</v>
      </c>
      <c r="G12" s="41">
        <f t="shared" si="0"/>
        <v>114.66762806102771</v>
      </c>
      <c r="I12" s="40"/>
    </row>
    <row r="13" spans="1:10" s="39" customFormat="1" x14ac:dyDescent="0.2">
      <c r="A13" s="39" t="s">
        <v>10</v>
      </c>
      <c r="B13" s="39" t="s">
        <v>50</v>
      </c>
      <c r="C13" s="40">
        <f>VLOOKUP(A13,Res_Light_Costs,2,0)</f>
        <v>26.930471938319169</v>
      </c>
      <c r="D13" s="40">
        <f>(VLOOKUP(Results!A13,Inputs!$A$125:$B$130,2,0)*Inputs!C108)/(8760*Inputs!D108)/(1-Line_losses)</f>
        <v>7.0425847136961135</v>
      </c>
      <c r="E13" s="40">
        <f>Inputs!D81</f>
        <v>49.686360000000001</v>
      </c>
      <c r="F13" s="42">
        <f>Inputs!D54/pounds_per_ton/(1-Line_losses)</f>
        <v>0.67730396000000015</v>
      </c>
      <c r="G13" s="41">
        <f t="shared" si="0"/>
        <v>-43.995716155826017</v>
      </c>
      <c r="I13" s="40"/>
    </row>
    <row r="14" spans="1:10" s="39" customFormat="1" x14ac:dyDescent="0.2">
      <c r="A14" s="39" t="s">
        <v>10</v>
      </c>
      <c r="B14" s="39" t="s">
        <v>8</v>
      </c>
      <c r="C14" s="40">
        <f>VLOOKUP(A14,Wind_Costs,2,0)</f>
        <v>75.111828400000007</v>
      </c>
      <c r="D14" s="40">
        <f>(VLOOKUP(Results!A14,Inputs!$A$125:$B$130,2,0)*Inputs!C109)/(8760*Inputs!D109)</f>
        <v>5.6795170285343</v>
      </c>
      <c r="E14" s="40">
        <f>Inputs!D82</f>
        <v>45.018169999999998</v>
      </c>
      <c r="F14" s="42">
        <f>Inputs!D55/pounds_per_ton</f>
        <v>0.624112</v>
      </c>
      <c r="G14" s="41">
        <f t="shared" si="0"/>
        <v>39.118205340492906</v>
      </c>
      <c r="I14" s="40"/>
    </row>
    <row r="15" spans="1:10" s="39" customFormat="1" x14ac:dyDescent="0.2">
      <c r="A15" s="39" t="s">
        <v>11</v>
      </c>
      <c r="B15" s="39" t="s">
        <v>51</v>
      </c>
      <c r="C15" s="40">
        <f>VLOOKUP(A15,Com_Light_Costs,2,0)</f>
        <v>4.3935743126549553</v>
      </c>
      <c r="D15" s="40">
        <f>(VLOOKUP(Results!A15,Inputs!$A$125:$B$130,2,0)*Inputs!C110)/(8760*Inputs!D110)/(1-Line_losses)</f>
        <v>5.2854793594468958</v>
      </c>
      <c r="E15" s="40">
        <f>Inputs!D83</f>
        <v>36.545389999999998</v>
      </c>
      <c r="F15" s="42">
        <f>Inputs!D56/pounds_per_ton/(1-Line_losses)</f>
        <v>0.96971185000000004</v>
      </c>
      <c r="G15" s="41">
        <f t="shared" si="0"/>
        <v>-38.606618086385083</v>
      </c>
      <c r="I15" s="40"/>
    </row>
    <row r="16" spans="1:10" s="39" customFormat="1" x14ac:dyDescent="0.2">
      <c r="A16" s="39" t="s">
        <v>11</v>
      </c>
      <c r="B16" s="39" t="s">
        <v>49</v>
      </c>
      <c r="C16" s="40">
        <f>VLOOKUP(A16,Solar_Costs,5,0)</f>
        <v>106.75330854646553</v>
      </c>
      <c r="D16" s="40">
        <f>(VLOOKUP(Results!A16,Inputs!$A$125:$B$130,2,0)*Inputs!C111)/(8760*Inputs!D111)</f>
        <v>6.040050767301131</v>
      </c>
      <c r="E16" s="40">
        <f>Inputs!D84</f>
        <v>37.40146</v>
      </c>
      <c r="F16" s="42">
        <f>Inputs!D57/pounds_per_ton</f>
        <v>0.89294849999999992</v>
      </c>
      <c r="G16" s="41">
        <f t="shared" si="0"/>
        <v>70.901958824237241</v>
      </c>
      <c r="I16" s="40"/>
    </row>
    <row r="17" spans="1:9" s="39" customFormat="1" x14ac:dyDescent="0.2">
      <c r="A17" s="39" t="s">
        <v>11</v>
      </c>
      <c r="B17" s="39" t="s">
        <v>50</v>
      </c>
      <c r="C17" s="40">
        <f>VLOOKUP(A17,Res_Light_Costs,2,0)</f>
        <v>26.930471938319169</v>
      </c>
      <c r="D17" s="40">
        <f>(VLOOKUP(Results!A17,Inputs!$A$125:$B$130,2,0)*Inputs!C112)/(8760*Inputs!D112)/(1-Line_losses)</f>
        <v>5.4957976783761247</v>
      </c>
      <c r="E17" s="40">
        <f>Inputs!D85</f>
        <v>35.167990000000003</v>
      </c>
      <c r="F17" s="42">
        <f>Inputs!D58/pounds_per_ton/(1-Line_losses)</f>
        <v>0.99112544000000002</v>
      </c>
      <c r="G17" s="41">
        <f t="shared" si="0"/>
        <v>-13.856284165258597</v>
      </c>
      <c r="I17" s="40"/>
    </row>
    <row r="18" spans="1:9" s="39" customFormat="1" x14ac:dyDescent="0.2">
      <c r="A18" s="39" t="s">
        <v>11</v>
      </c>
      <c r="B18" s="39" t="s">
        <v>8</v>
      </c>
      <c r="C18" s="40">
        <f>VLOOKUP(A18,Wind_Costs,2,0)</f>
        <v>65.059116399999994</v>
      </c>
      <c r="D18" s="40">
        <f>(VLOOKUP(Results!A18,Inputs!$A$125:$B$130,2,0)*Inputs!C113)/(8760*Inputs!D113)</f>
        <v>3.9410826762982869</v>
      </c>
      <c r="E18" s="40">
        <f>Inputs!D86</f>
        <v>31.45431</v>
      </c>
      <c r="F18" s="42">
        <f>Inputs!D59/pounds_per_ton</f>
        <v>0.93879999999999997</v>
      </c>
      <c r="G18" s="41">
        <f t="shared" si="0"/>
        <v>31.597490118983497</v>
      </c>
      <c r="I18" s="40"/>
    </row>
    <row r="19" spans="1:9" s="39" customFormat="1" x14ac:dyDescent="0.2">
      <c r="A19" s="39" t="s">
        <v>12</v>
      </c>
      <c r="B19" s="39" t="s">
        <v>51</v>
      </c>
      <c r="C19" s="40">
        <f>VLOOKUP(A19,Com_Light_Costs,2,0)</f>
        <v>4.3935743126549553</v>
      </c>
      <c r="D19" s="40">
        <f>(VLOOKUP(Results!A19,Inputs!$A$125:$B$130,2,0)*Inputs!C114)/(8760*Inputs!D114)/(1-Line_losses)</f>
        <v>1.7639516826643615</v>
      </c>
      <c r="E19" s="40">
        <f>Inputs!D87</f>
        <v>49.32141</v>
      </c>
      <c r="F19" s="42">
        <f>Inputs!D60/pounds_per_ton/(1-Line_losses)</f>
        <v>0.64399611000000012</v>
      </c>
      <c r="G19" s="41">
        <f t="shared" si="0"/>
        <v>-72.503213365697817</v>
      </c>
      <c r="I19" s="40"/>
    </row>
    <row r="20" spans="1:9" s="39" customFormat="1" x14ac:dyDescent="0.2">
      <c r="A20" s="39" t="s">
        <v>12</v>
      </c>
      <c r="B20" s="39" t="s">
        <v>49</v>
      </c>
      <c r="C20" s="40">
        <f>VLOOKUP(A20,Solar_Costs,5,0)</f>
        <v>133.78061971550076</v>
      </c>
      <c r="D20" s="40">
        <f>(VLOOKUP(Results!A20,Inputs!$A$125:$B$130,2,0)*Inputs!C115)/(8760*Inputs!D115)</f>
        <v>2.1301264130520492</v>
      </c>
      <c r="E20" s="40">
        <f>Inputs!D88</f>
        <v>49.806489999999997</v>
      </c>
      <c r="F20" s="42">
        <f>Inputs!D61/pounds_per_ton</f>
        <v>0.56484100000000004</v>
      </c>
      <c r="G20" s="41">
        <f t="shared" si="0"/>
        <v>144.89741945511872</v>
      </c>
      <c r="I20" s="40"/>
    </row>
    <row r="21" spans="1:9" s="39" customFormat="1" x14ac:dyDescent="0.2">
      <c r="A21" s="39" t="s">
        <v>12</v>
      </c>
      <c r="B21" s="39" t="s">
        <v>50</v>
      </c>
      <c r="C21" s="40">
        <f>VLOOKUP(A21,Res_Light_Costs,2,0)</f>
        <v>26.930471938319169</v>
      </c>
      <c r="D21" s="40">
        <f>(VLOOKUP(Results!A21,Inputs!$A$125:$B$130,2,0)*Inputs!C116)/(8760*Inputs!D116)/(1-Line_losses)</f>
        <v>1.7879634488889107</v>
      </c>
      <c r="E21" s="40">
        <f>Inputs!D89</f>
        <v>49.077010000000001</v>
      </c>
      <c r="F21" s="42">
        <f>Inputs!D62/pounds_per_ton/(1-Line_losses)</f>
        <v>0.68884948000000001</v>
      </c>
      <c r="G21" s="41">
        <f t="shared" si="0"/>
        <v>-34.745618898586876</v>
      </c>
      <c r="I21" s="40"/>
    </row>
    <row r="22" spans="1:9" s="39" customFormat="1" x14ac:dyDescent="0.2">
      <c r="A22" s="39" t="s">
        <v>12</v>
      </c>
      <c r="B22" s="39" t="s">
        <v>8</v>
      </c>
      <c r="C22" s="40">
        <f>VLOOKUP(A22,Wind_Costs,2,0)</f>
        <v>75.111828400000007</v>
      </c>
      <c r="D22" s="40">
        <f>(VLOOKUP(Results!A22,Inputs!$A$125:$B$130,2,0)*Inputs!C117)/(8760*Inputs!D117)</f>
        <v>1.3961942745417499</v>
      </c>
      <c r="E22" s="40">
        <f>Inputs!D90</f>
        <v>44.751159999999999</v>
      </c>
      <c r="F22" s="42">
        <f>Inputs!D63/pounds_per_ton</f>
        <v>0.65133399999999997</v>
      </c>
      <c r="G22" s="41">
        <f t="shared" si="0"/>
        <v>44.469464399921179</v>
      </c>
      <c r="I22" s="40"/>
    </row>
    <row r="23" spans="1:9" s="39" customFormat="1" x14ac:dyDescent="0.2">
      <c r="A23" s="39" t="s">
        <v>13</v>
      </c>
      <c r="B23" s="39" t="s">
        <v>51</v>
      </c>
      <c r="C23" s="40">
        <f>VLOOKUP(A23,Com_Light_Costs,2,0)</f>
        <v>4.3935743126549553</v>
      </c>
      <c r="D23" s="40">
        <f>(VLOOKUP(Results!A23,Inputs!$A$125:$B$130,2,0)*Inputs!C118)/(8760*Inputs!D118)/(1-Line_losses)</f>
        <v>5.0502302932125467</v>
      </c>
      <c r="E23" s="40">
        <f>Inputs!D91</f>
        <v>46.892829999999996</v>
      </c>
      <c r="F23" s="42">
        <f>Inputs!D64/pounds_per_ton/(1-Line_losses)</f>
        <v>0.93687570000000009</v>
      </c>
      <c r="G23" s="41">
        <f t="shared" si="0"/>
        <v>-50.753249316379524</v>
      </c>
      <c r="I23" s="40"/>
    </row>
    <row r="24" spans="1:9" s="39" customFormat="1" x14ac:dyDescent="0.2">
      <c r="A24" s="39" t="s">
        <v>13</v>
      </c>
      <c r="B24" s="39" t="s">
        <v>49</v>
      </c>
      <c r="C24" s="40">
        <f>VLOOKUP(A24,Solar_Costs,5,0)</f>
        <v>138.74059088973786</v>
      </c>
      <c r="D24" s="40">
        <f>(VLOOKUP(Results!A24,Inputs!$A$125:$B$130,2,0)*Inputs!C119)/(8760*Inputs!D119)</f>
        <v>5.9464221921254925</v>
      </c>
      <c r="E24" s="40">
        <f>Inputs!D92</f>
        <v>48.889949999999999</v>
      </c>
      <c r="F24" s="42">
        <f>Inputs!D65/pounds_per_ton</f>
        <v>0.87310299999999996</v>
      </c>
      <c r="G24" s="41">
        <f t="shared" si="0"/>
        <v>96.09887802196576</v>
      </c>
      <c r="I24" s="40"/>
    </row>
    <row r="25" spans="1:9" s="39" customFormat="1" x14ac:dyDescent="0.2">
      <c r="A25" s="39" t="s">
        <v>13</v>
      </c>
      <c r="B25" s="39" t="s">
        <v>50</v>
      </c>
      <c r="C25" s="40">
        <f>VLOOKUP(A25,Res_Light_Costs,2,0)</f>
        <v>26.930471938319169</v>
      </c>
      <c r="D25" s="40">
        <f>(VLOOKUP(Results!A25,Inputs!$A$125:$B$130,2,0)*Inputs!C120)/(8760*Inputs!D120)/(1-Line_losses)</f>
        <v>5.2758650441924315</v>
      </c>
      <c r="E25" s="40">
        <f>Inputs!D93</f>
        <v>45.687309999999997</v>
      </c>
      <c r="F25" s="42">
        <f>Inputs!D66/pounds_per_ton/(1-Line_losses)</f>
        <v>0.95361787000000009</v>
      </c>
      <c r="G25" s="41">
        <f t="shared" si="0"/>
        <v>-25.201607333420942</v>
      </c>
      <c r="I25" s="40"/>
    </row>
    <row r="26" spans="1:9" s="39" customFormat="1" x14ac:dyDescent="0.2">
      <c r="A26" s="39" t="s">
        <v>13</v>
      </c>
      <c r="B26" s="39" t="s">
        <v>8</v>
      </c>
      <c r="C26" s="40">
        <f>VLOOKUP(A26,Wind_Costs,2,0)</f>
        <v>75.111828400000007</v>
      </c>
      <c r="D26" s="40">
        <f>(VLOOKUP(Results!A26,Inputs!$A$125:$B$130,2,0)*Inputs!C121)/(8760*Inputs!D121)</f>
        <v>4.1733573655856731</v>
      </c>
      <c r="E26" s="40">
        <f>Inputs!D94</f>
        <v>41.389560000000003</v>
      </c>
      <c r="F26" s="42">
        <f>Inputs!D67/pounds_per_ton</f>
        <v>0.89402349999999997</v>
      </c>
      <c r="G26" s="41">
        <f t="shared" si="0"/>
        <v>33.051604386701619</v>
      </c>
      <c r="I26" s="40"/>
    </row>
    <row r="29" spans="1:9" x14ac:dyDescent="0.2">
      <c r="A29" s="13" t="s">
        <v>67</v>
      </c>
      <c r="C29" s="3"/>
      <c r="D29" s="3"/>
      <c r="E29" s="3"/>
    </row>
    <row r="30" spans="1:9" x14ac:dyDescent="0.2">
      <c r="A30" s="14"/>
      <c r="B30" s="11" t="s">
        <v>66</v>
      </c>
      <c r="C30" s="11" t="s">
        <v>77</v>
      </c>
      <c r="D30" s="12" t="s">
        <v>79</v>
      </c>
      <c r="E30" s="12" t="s">
        <v>60</v>
      </c>
      <c r="H30" s="3"/>
    </row>
    <row r="31" spans="1:9" x14ac:dyDescent="0.2">
      <c r="A31" s="11" t="s">
        <v>4</v>
      </c>
      <c r="B31" s="15">
        <f>Inputs!D99</f>
        <v>0.20662</v>
      </c>
      <c r="C31" s="6">
        <f>SUM($E$72:$E$101)</f>
        <v>3.1666048176874733</v>
      </c>
      <c r="D31" s="33">
        <f>SUM(H72:H101)/W_per_MW</f>
        <v>0.16646449609963215</v>
      </c>
      <c r="E31" s="14">
        <f t="shared" ref="E31:E36" si="1">(C31/($D$31))/(B31/Convert_2013_to_2012_dollars)</f>
        <v>90.736695609961643</v>
      </c>
      <c r="H31" s="3"/>
    </row>
    <row r="32" spans="1:9" x14ac:dyDescent="0.2">
      <c r="A32" s="11" t="s">
        <v>9</v>
      </c>
      <c r="B32" s="15">
        <f>Inputs!D103</f>
        <v>0.20449999999999999</v>
      </c>
      <c r="C32" s="6">
        <f t="shared" ref="C32:C36" si="2">SUM($E$72:$E$101)</f>
        <v>3.1666048176874733</v>
      </c>
      <c r="E32" s="14">
        <f t="shared" si="1"/>
        <v>91.677340082788632</v>
      </c>
      <c r="H32" s="3"/>
    </row>
    <row r="33" spans="1:8" x14ac:dyDescent="0.2">
      <c r="A33" s="11" t="s">
        <v>10</v>
      </c>
      <c r="B33" s="15">
        <f>Inputs!D107</f>
        <v>0.14187</v>
      </c>
      <c r="C33" s="6">
        <f t="shared" si="2"/>
        <v>3.1666048176874733</v>
      </c>
      <c r="E33" s="14">
        <f t="shared" si="1"/>
        <v>132.14926374096197</v>
      </c>
      <c r="H33" s="3"/>
    </row>
    <row r="34" spans="1:8" x14ac:dyDescent="0.2">
      <c r="A34" s="11" t="s">
        <v>11</v>
      </c>
      <c r="B34" s="15">
        <f>Inputs!D111</f>
        <v>0.17562</v>
      </c>
      <c r="C34" s="6">
        <f t="shared" si="2"/>
        <v>3.1666048176874733</v>
      </c>
      <c r="E34" s="14">
        <f t="shared" si="1"/>
        <v>106.75330854646553</v>
      </c>
      <c r="H34" s="3"/>
    </row>
    <row r="35" spans="1:8" x14ac:dyDescent="0.2">
      <c r="A35" s="11" t="s">
        <v>12</v>
      </c>
      <c r="B35" s="15">
        <f>Inputs!D115</f>
        <v>0.14013999999999999</v>
      </c>
      <c r="C35" s="6">
        <f t="shared" si="2"/>
        <v>3.1666048176874733</v>
      </c>
      <c r="E35" s="14">
        <f t="shared" si="1"/>
        <v>133.78061971550076</v>
      </c>
      <c r="H35" s="3"/>
    </row>
    <row r="36" spans="1:8" x14ac:dyDescent="0.2">
      <c r="A36" s="11" t="s">
        <v>13</v>
      </c>
      <c r="B36" s="15">
        <f>Inputs!D119</f>
        <v>0.13513</v>
      </c>
      <c r="C36" s="6">
        <f t="shared" si="2"/>
        <v>3.1666048176874733</v>
      </c>
      <c r="E36" s="14">
        <f t="shared" si="1"/>
        <v>138.74059088973786</v>
      </c>
      <c r="H36" s="3"/>
    </row>
    <row r="38" spans="1:8" x14ac:dyDescent="0.2">
      <c r="A38" s="13" t="s">
        <v>68</v>
      </c>
    </row>
    <row r="39" spans="1:8" x14ac:dyDescent="0.2">
      <c r="B39" s="16" t="s">
        <v>60</v>
      </c>
      <c r="C39" s="16" t="s">
        <v>46</v>
      </c>
    </row>
    <row r="40" spans="1:8" x14ac:dyDescent="0.2">
      <c r="A40" s="11" t="s">
        <v>4</v>
      </c>
      <c r="B40" s="14">
        <f>(Inputs!$G$39-Inputs!$F$39)/(Inputs!$B$39-Inputs!$C$39)*1000/$C$40/efficiency_realization_rate*Convert_2008_to_2012_dollars</f>
        <v>26.930471938319169</v>
      </c>
      <c r="C40" s="38">
        <f>1+PV(real_discount_rate,efficiency_equipment_life-1,-1,0,0)</f>
        <v>12.296073139379358</v>
      </c>
      <c r="E40" s="8"/>
    </row>
    <row r="41" spans="1:8" x14ac:dyDescent="0.2">
      <c r="A41" s="11" t="s">
        <v>9</v>
      </c>
      <c r="B41" s="14">
        <f>(Inputs!$G$39-Inputs!$F$39)/(Inputs!$B$39-Inputs!$C$39)*1000/$C$40/efficiency_realization_rate*Convert_2008_to_2012_dollars</f>
        <v>26.930471938319169</v>
      </c>
    </row>
    <row r="42" spans="1:8" x14ac:dyDescent="0.2">
      <c r="A42" s="11" t="s">
        <v>10</v>
      </c>
      <c r="B42" s="14">
        <f>(Inputs!$G$39-Inputs!$F$39)/(Inputs!$B$39-Inputs!$C$39)*1000/$C$40/efficiency_realization_rate*Convert_2008_to_2012_dollars</f>
        <v>26.930471938319169</v>
      </c>
    </row>
    <row r="43" spans="1:8" x14ac:dyDescent="0.2">
      <c r="A43" s="11" t="s">
        <v>11</v>
      </c>
      <c r="B43" s="14">
        <f>(Inputs!$G$39-Inputs!$F$39)/(Inputs!$B$39-Inputs!$C$39)*1000/$C$40/efficiency_realization_rate*Convert_2008_to_2012_dollars</f>
        <v>26.930471938319169</v>
      </c>
    </row>
    <row r="44" spans="1:8" x14ac:dyDescent="0.2">
      <c r="A44" s="11" t="s">
        <v>12</v>
      </c>
      <c r="B44" s="14">
        <f>(Inputs!$G$39-Inputs!$F$39)/(Inputs!$B$39-Inputs!$C$39)*1000/$C$40/efficiency_realization_rate*Convert_2008_to_2012_dollars</f>
        <v>26.930471938319169</v>
      </c>
    </row>
    <row r="45" spans="1:8" x14ac:dyDescent="0.2">
      <c r="A45" s="11" t="s">
        <v>13</v>
      </c>
      <c r="B45" s="14">
        <f>(Inputs!$G$39-Inputs!$F$39)/(Inputs!$B$39-Inputs!$C$39)*1000/$C$40/efficiency_realization_rate*Convert_2008_to_2012_dollars</f>
        <v>26.930471938319169</v>
      </c>
    </row>
    <row r="47" spans="1:8" x14ac:dyDescent="0.2">
      <c r="A47" s="13" t="s">
        <v>69</v>
      </c>
    </row>
    <row r="48" spans="1:8" x14ac:dyDescent="0.2">
      <c r="B48" s="16" t="s">
        <v>60</v>
      </c>
    </row>
    <row r="49" spans="1:5" x14ac:dyDescent="0.2">
      <c r="A49" s="11" t="s">
        <v>4</v>
      </c>
      <c r="B49" s="14">
        <f>(Inputs!$G$40-Inputs!$F$40)/(Inputs!$B$40-Inputs!$C$40)*1000/$C$40/efficiency_realization_rate*Convert_2008_to_2012_dollars</f>
        <v>4.3935743126549553</v>
      </c>
      <c r="E49" s="8"/>
    </row>
    <row r="50" spans="1:5" x14ac:dyDescent="0.2">
      <c r="A50" s="11" t="s">
        <v>9</v>
      </c>
      <c r="B50" s="14">
        <f>(Inputs!$G$40-Inputs!$F$40)/(Inputs!$B$40-Inputs!$C$40)*1000/$C$40/efficiency_realization_rate*Convert_2008_to_2012_dollars</f>
        <v>4.3935743126549553</v>
      </c>
    </row>
    <row r="51" spans="1:5" x14ac:dyDescent="0.2">
      <c r="A51" s="11" t="s">
        <v>10</v>
      </c>
      <c r="B51" s="14">
        <f>(Inputs!$G$40-Inputs!$F$40)/(Inputs!$B$40-Inputs!$C$40)*1000/$C$40/efficiency_realization_rate*Convert_2008_to_2012_dollars</f>
        <v>4.3935743126549553</v>
      </c>
    </row>
    <row r="52" spans="1:5" x14ac:dyDescent="0.2">
      <c r="A52" s="11" t="s">
        <v>11</v>
      </c>
      <c r="B52" s="14">
        <f>(Inputs!$G$40-Inputs!$F$40)/(Inputs!$B$40-Inputs!$C$40)*1000/$C$40/efficiency_realization_rate*Convert_2008_to_2012_dollars</f>
        <v>4.3935743126549553</v>
      </c>
    </row>
    <row r="53" spans="1:5" x14ac:dyDescent="0.2">
      <c r="A53" s="11" t="s">
        <v>12</v>
      </c>
      <c r="B53" s="14">
        <f>(Inputs!$G$40-Inputs!$F$40)/(Inputs!$B$40-Inputs!$C$40)*1000/$C$40/efficiency_realization_rate*Convert_2008_to_2012_dollars</f>
        <v>4.3935743126549553</v>
      </c>
    </row>
    <row r="54" spans="1:5" x14ac:dyDescent="0.2">
      <c r="A54" s="11" t="s">
        <v>13</v>
      </c>
      <c r="B54" s="14">
        <f>(Inputs!$G$40-Inputs!$F$40)/(Inputs!$B$40-Inputs!$C$40)*1000/$C$40/efficiency_realization_rate*Convert_2008_to_2012_dollars</f>
        <v>4.3935743126549553</v>
      </c>
    </row>
    <row r="56" spans="1:5" x14ac:dyDescent="0.2">
      <c r="A56" s="13" t="s">
        <v>70</v>
      </c>
      <c r="B56" s="9"/>
    </row>
    <row r="57" spans="1:5" x14ac:dyDescent="0.2">
      <c r="A57" s="11" t="s">
        <v>4</v>
      </c>
      <c r="B57" s="9">
        <f>Inputs!B30+Production_tax_credit</f>
        <v>80.5225528</v>
      </c>
    </row>
    <row r="58" spans="1:5" x14ac:dyDescent="0.2">
      <c r="A58" s="11" t="s">
        <v>9</v>
      </c>
      <c r="B58" s="9">
        <f>Inputs!B31+Production_tax_credit</f>
        <v>43.593619599999997</v>
      </c>
    </row>
    <row r="59" spans="1:5" x14ac:dyDescent="0.2">
      <c r="A59" s="11" t="s">
        <v>10</v>
      </c>
      <c r="B59" s="9">
        <f>Inputs!B32+Production_tax_credit</f>
        <v>75.111828400000007</v>
      </c>
    </row>
    <row r="60" spans="1:5" x14ac:dyDescent="0.2">
      <c r="A60" s="11" t="s">
        <v>11</v>
      </c>
      <c r="B60" s="9">
        <f>Inputs!B33+Production_tax_credit</f>
        <v>65.059116399999994</v>
      </c>
    </row>
    <row r="61" spans="1:5" x14ac:dyDescent="0.2">
      <c r="A61" s="11" t="s">
        <v>12</v>
      </c>
      <c r="B61" s="9">
        <f>Inputs!B34+Production_tax_credit</f>
        <v>75.111828400000007</v>
      </c>
    </row>
    <row r="62" spans="1:5" x14ac:dyDescent="0.2">
      <c r="A62" s="11" t="s">
        <v>13</v>
      </c>
      <c r="B62" s="9">
        <f>Inputs!B35+Production_tax_credit</f>
        <v>75.111828400000007</v>
      </c>
    </row>
    <row r="64" spans="1:5" x14ac:dyDescent="0.2">
      <c r="A64" s="13"/>
    </row>
    <row r="65" spans="1:13" x14ac:dyDescent="0.2">
      <c r="A65" s="11"/>
    </row>
    <row r="71" spans="1:13" ht="45" x14ac:dyDescent="0.2">
      <c r="A71" s="32" t="s">
        <v>88</v>
      </c>
      <c r="B71" s="32" t="s">
        <v>90</v>
      </c>
      <c r="C71" s="32" t="s">
        <v>91</v>
      </c>
      <c r="D71" s="36" t="s">
        <v>92</v>
      </c>
      <c r="E71" s="36" t="s">
        <v>93</v>
      </c>
      <c r="F71" s="32" t="s">
        <v>89</v>
      </c>
      <c r="G71" s="32" t="s">
        <v>86</v>
      </c>
      <c r="H71" s="32" t="s">
        <v>87</v>
      </c>
      <c r="I71" s="7"/>
      <c r="J71" s="7"/>
      <c r="K71" s="7"/>
      <c r="L71" s="7"/>
      <c r="M71" s="7"/>
    </row>
    <row r="72" spans="1:13" x14ac:dyDescent="0.2">
      <c r="A72">
        <v>0</v>
      </c>
      <c r="B72">
        <f>PV_panel_cost</f>
        <v>2.97</v>
      </c>
      <c r="C72"/>
      <c r="D72" s="30">
        <f t="shared" ref="D72:D101" si="3">1/(1+real_discount_rate)^A72</f>
        <v>1</v>
      </c>
      <c r="E72" s="34">
        <f t="shared" ref="E72:E101" si="4">(B72+C72)*D72</f>
        <v>2.97</v>
      </c>
      <c r="F72" s="30">
        <v>1</v>
      </c>
      <c r="G72" s="31">
        <f t="shared" ref="G72:G101" si="5">F72*8760</f>
        <v>8760</v>
      </c>
      <c r="H72" s="31">
        <f t="shared" ref="H72:H101" si="6">G72/(1+real_discount_rate)^A72</f>
        <v>8760</v>
      </c>
      <c r="I72" s="7"/>
      <c r="J72" s="7"/>
      <c r="K72" s="7"/>
      <c r="L72" s="7"/>
      <c r="M72" s="7"/>
    </row>
    <row r="73" spans="1:13" x14ac:dyDescent="0.2">
      <c r="A73">
        <f t="shared" ref="A73:A101" si="7">A72+1</f>
        <v>1</v>
      </c>
      <c r="B73"/>
      <c r="C73"/>
      <c r="D73" s="30">
        <f t="shared" si="3"/>
        <v>0.970873786407767</v>
      </c>
      <c r="E73" s="34">
        <f t="shared" si="4"/>
        <v>0</v>
      </c>
      <c r="F73" s="30">
        <f t="shared" ref="F73:F101" si="8">F72/(1+PV_degradation_rate)</f>
        <v>0.99502487562189068</v>
      </c>
      <c r="G73" s="31">
        <f t="shared" si="5"/>
        <v>8716.4179104477626</v>
      </c>
      <c r="H73" s="31">
        <f t="shared" si="6"/>
        <v>8462.5416606288964</v>
      </c>
      <c r="I73" s="7"/>
      <c r="J73" s="7"/>
      <c r="K73" s="7"/>
      <c r="L73" s="7"/>
      <c r="M73" s="7"/>
    </row>
    <row r="74" spans="1:13" x14ac:dyDescent="0.2">
      <c r="A74">
        <f t="shared" si="7"/>
        <v>2</v>
      </c>
      <c r="B74"/>
      <c r="C74"/>
      <c r="D74" s="30">
        <f t="shared" si="3"/>
        <v>0.94259590913375435</v>
      </c>
      <c r="E74" s="34">
        <f t="shared" si="4"/>
        <v>0</v>
      </c>
      <c r="F74" s="30">
        <f t="shared" si="8"/>
        <v>0.99007450310635903</v>
      </c>
      <c r="G74" s="31">
        <f t="shared" si="5"/>
        <v>8673.0526472117053</v>
      </c>
      <c r="H74" s="31">
        <f t="shared" si="6"/>
        <v>8175.1839449634326</v>
      </c>
      <c r="I74" s="7"/>
      <c r="J74" s="7"/>
      <c r="K74" s="7"/>
      <c r="L74" s="7"/>
      <c r="M74" s="7"/>
    </row>
    <row r="75" spans="1:13" x14ac:dyDescent="0.2">
      <c r="A75">
        <f t="shared" si="7"/>
        <v>3</v>
      </c>
      <c r="B75"/>
      <c r="C75"/>
      <c r="D75" s="30">
        <f t="shared" si="3"/>
        <v>0.91514165935315961</v>
      </c>
      <c r="E75" s="34">
        <f t="shared" si="4"/>
        <v>0</v>
      </c>
      <c r="F75" s="30">
        <f t="shared" si="8"/>
        <v>0.98514875930981005</v>
      </c>
      <c r="G75" s="31">
        <f t="shared" si="5"/>
        <v>8629.903131553936</v>
      </c>
      <c r="H75" s="31">
        <f t="shared" si="6"/>
        <v>7897.5838718672967</v>
      </c>
      <c r="I75" s="7"/>
      <c r="J75" s="7"/>
      <c r="K75" s="7"/>
      <c r="L75" s="7"/>
      <c r="M75" s="7"/>
    </row>
    <row r="76" spans="1:13" x14ac:dyDescent="0.2">
      <c r="A76">
        <f t="shared" si="7"/>
        <v>4</v>
      </c>
      <c r="B76"/>
      <c r="C76"/>
      <c r="D76" s="30">
        <f t="shared" si="3"/>
        <v>0.888487047915689</v>
      </c>
      <c r="E76" s="34">
        <f t="shared" si="4"/>
        <v>0</v>
      </c>
      <c r="F76" s="30">
        <f t="shared" si="8"/>
        <v>0.98024752170130369</v>
      </c>
      <c r="G76" s="31">
        <f t="shared" si="5"/>
        <v>8586.9682901034212</v>
      </c>
      <c r="H76" s="31">
        <f t="shared" si="6"/>
        <v>7629.4101066196199</v>
      </c>
      <c r="I76" s="7"/>
      <c r="J76" s="7"/>
      <c r="K76" s="7"/>
      <c r="L76" s="7"/>
      <c r="M76" s="7"/>
    </row>
    <row r="77" spans="1:13" x14ac:dyDescent="0.2">
      <c r="A77">
        <f t="shared" si="7"/>
        <v>5</v>
      </c>
      <c r="B77"/>
      <c r="C77"/>
      <c r="D77" s="30">
        <f t="shared" si="3"/>
        <v>0.86260878438416411</v>
      </c>
      <c r="E77" s="34">
        <f t="shared" si="4"/>
        <v>0</v>
      </c>
      <c r="F77" s="30">
        <f t="shared" si="8"/>
        <v>0.97537066835950625</v>
      </c>
      <c r="G77" s="31">
        <f t="shared" si="5"/>
        <v>8544.2470548292749</v>
      </c>
      <c r="H77" s="31">
        <f t="shared" si="6"/>
        <v>7370.3425654442553</v>
      </c>
      <c r="I77" s="7"/>
      <c r="J77" s="7"/>
      <c r="K77" s="7"/>
      <c r="L77" s="7"/>
      <c r="M77" s="7"/>
    </row>
    <row r="78" spans="1:13" x14ac:dyDescent="0.2">
      <c r="A78">
        <f t="shared" si="7"/>
        <v>6</v>
      </c>
      <c r="B78"/>
      <c r="C78"/>
      <c r="D78" s="30">
        <f t="shared" si="3"/>
        <v>0.83748425668365445</v>
      </c>
      <c r="E78" s="34">
        <f t="shared" si="4"/>
        <v>0</v>
      </c>
      <c r="F78" s="30">
        <f t="shared" si="8"/>
        <v>0.97051807796965806</v>
      </c>
      <c r="G78" s="31">
        <f t="shared" si="5"/>
        <v>8501.7383630142049</v>
      </c>
      <c r="H78" s="31">
        <f t="shared" si="6"/>
        <v>7120.0720334678599</v>
      </c>
      <c r="I78" s="7"/>
      <c r="J78" s="7"/>
      <c r="K78" s="7"/>
      <c r="L78" s="7"/>
      <c r="M78" s="7"/>
    </row>
    <row r="79" spans="1:13" x14ac:dyDescent="0.2">
      <c r="A79">
        <f t="shared" si="7"/>
        <v>7</v>
      </c>
      <c r="B79"/>
      <c r="C79"/>
      <c r="D79" s="30">
        <f t="shared" si="3"/>
        <v>0.81309151134335378</v>
      </c>
      <c r="E79" s="34">
        <f t="shared" si="4"/>
        <v>0</v>
      </c>
      <c r="F79" s="30">
        <f t="shared" si="8"/>
        <v>0.9656896298205554</v>
      </c>
      <c r="G79" s="31">
        <f t="shared" si="5"/>
        <v>8459.441157228066</v>
      </c>
      <c r="H79" s="31">
        <f t="shared" si="6"/>
        <v>6878.2997956507379</v>
      </c>
      <c r="I79" s="7"/>
      <c r="J79" s="7"/>
      <c r="K79" s="7"/>
      <c r="L79" s="7"/>
      <c r="M79" s="7"/>
    </row>
    <row r="80" spans="1:13" x14ac:dyDescent="0.2">
      <c r="A80">
        <f t="shared" si="7"/>
        <v>8</v>
      </c>
      <c r="B80"/>
      <c r="C80"/>
      <c r="D80" s="30">
        <f t="shared" si="3"/>
        <v>0.78940923431393573</v>
      </c>
      <c r="E80" s="34">
        <f t="shared" si="4"/>
        <v>0</v>
      </c>
      <c r="F80" s="30">
        <f t="shared" si="8"/>
        <v>0.96088520380154774</v>
      </c>
      <c r="G80" s="31">
        <f t="shared" si="5"/>
        <v>8417.3543853015581</v>
      </c>
      <c r="H80" s="31">
        <f t="shared" si="6"/>
        <v>6644.7372802499522</v>
      </c>
      <c r="I80" s="7"/>
      <c r="J80" s="7"/>
      <c r="K80" s="7"/>
      <c r="L80" s="7"/>
      <c r="M80" s="7"/>
    </row>
    <row r="81" spans="1:13" x14ac:dyDescent="0.2">
      <c r="A81">
        <f t="shared" si="7"/>
        <v>9</v>
      </c>
      <c r="B81"/>
      <c r="C81"/>
      <c r="D81" s="30">
        <f t="shared" si="3"/>
        <v>0.76641673234362695</v>
      </c>
      <c r="E81" s="34">
        <f t="shared" si="4"/>
        <v>0</v>
      </c>
      <c r="F81" s="30">
        <f t="shared" si="8"/>
        <v>0.9561046803995501</v>
      </c>
      <c r="G81" s="31">
        <f t="shared" si="5"/>
        <v>8375.4770003000594</v>
      </c>
      <c r="H81" s="31">
        <f t="shared" si="6"/>
        <v>6419.105714389174</v>
      </c>
      <c r="I81" s="7"/>
      <c r="J81" s="7"/>
      <c r="K81" s="7"/>
      <c r="L81" s="7"/>
      <c r="M81" s="7"/>
    </row>
    <row r="82" spans="1:13" x14ac:dyDescent="0.2">
      <c r="A82">
        <f t="shared" si="7"/>
        <v>10</v>
      </c>
      <c r="B82"/>
      <c r="C82" s="35">
        <f>inverter_cost/(1+inverter_cost_decline_rate)^A82</f>
        <v>0.16406965997503106</v>
      </c>
      <c r="D82" s="30">
        <f t="shared" si="3"/>
        <v>0.74409391489672516</v>
      </c>
      <c r="E82" s="34">
        <f t="shared" si="4"/>
        <v>0.1220832356065954</v>
      </c>
      <c r="F82" s="30">
        <f t="shared" si="8"/>
        <v>0.95134794069606987</v>
      </c>
      <c r="G82" s="31">
        <f t="shared" si="5"/>
        <v>8333.8079604975719</v>
      </c>
      <c r="H82" s="31">
        <f t="shared" si="6"/>
        <v>6201.1357913241309</v>
      </c>
      <c r="I82" s="7"/>
      <c r="J82" s="7"/>
      <c r="K82" s="7"/>
      <c r="L82" s="7"/>
      <c r="M82" s="7"/>
    </row>
    <row r="83" spans="1:13" x14ac:dyDescent="0.2">
      <c r="A83">
        <f t="shared" si="7"/>
        <v>11</v>
      </c>
      <c r="B83"/>
      <c r="C83"/>
      <c r="D83" s="30">
        <f t="shared" si="3"/>
        <v>0.72242127659876232</v>
      </c>
      <c r="E83" s="34">
        <f t="shared" si="4"/>
        <v>0</v>
      </c>
      <c r="F83" s="30">
        <f t="shared" si="8"/>
        <v>0.94661486636424874</v>
      </c>
      <c r="G83" s="31">
        <f t="shared" si="5"/>
        <v>8292.3462293508182</v>
      </c>
      <c r="H83" s="31">
        <f t="shared" si="6"/>
        <v>5990.567349006551</v>
      </c>
      <c r="I83" s="7"/>
      <c r="J83" s="7"/>
      <c r="K83" s="7"/>
      <c r="L83" s="7"/>
      <c r="M83" s="7"/>
    </row>
    <row r="84" spans="1:13" x14ac:dyDescent="0.2">
      <c r="A84">
        <f t="shared" si="7"/>
        <v>12</v>
      </c>
      <c r="B84"/>
      <c r="C84"/>
      <c r="D84" s="30">
        <f t="shared" si="3"/>
        <v>0.70137988019297326</v>
      </c>
      <c r="E84" s="34">
        <f t="shared" si="4"/>
        <v>0</v>
      </c>
      <c r="F84" s="30">
        <f t="shared" si="8"/>
        <v>0.94190533966591927</v>
      </c>
      <c r="G84" s="31">
        <f t="shared" si="5"/>
        <v>8251.0907754734526</v>
      </c>
      <c r="H84" s="31">
        <f t="shared" si="6"/>
        <v>5787.1490595629166</v>
      </c>
      <c r="I84" s="7"/>
      <c r="J84" s="7"/>
      <c r="K84" s="7"/>
      <c r="L84" s="7"/>
      <c r="M84" s="7"/>
    </row>
    <row r="85" spans="1:13" x14ac:dyDescent="0.2">
      <c r="A85">
        <f t="shared" si="7"/>
        <v>13</v>
      </c>
      <c r="B85"/>
      <c r="C85"/>
      <c r="D85" s="30">
        <f t="shared" si="3"/>
        <v>0.68095133999317792</v>
      </c>
      <c r="E85" s="34">
        <f t="shared" si="4"/>
        <v>0</v>
      </c>
      <c r="F85" s="30">
        <f t="shared" si="8"/>
        <v>0.93721924344867602</v>
      </c>
      <c r="G85" s="31">
        <f t="shared" si="5"/>
        <v>8210.0405726104018</v>
      </c>
      <c r="H85" s="31">
        <f t="shared" si="6"/>
        <v>5590.6381293174109</v>
      </c>
      <c r="I85" s="7"/>
      <c r="J85" s="7"/>
      <c r="K85" s="7"/>
      <c r="L85" s="7"/>
      <c r="M85" s="7"/>
    </row>
    <row r="86" spans="1:13" x14ac:dyDescent="0.2">
      <c r="A86">
        <f t="shared" si="7"/>
        <v>14</v>
      </c>
      <c r="B86"/>
      <c r="C86"/>
      <c r="D86" s="30">
        <f t="shared" si="3"/>
        <v>0.66111780581861923</v>
      </c>
      <c r="E86" s="34">
        <f t="shared" si="4"/>
        <v>0</v>
      </c>
      <c r="F86" s="30">
        <f t="shared" si="8"/>
        <v>0.93255646114296131</v>
      </c>
      <c r="G86" s="31">
        <f t="shared" si="5"/>
        <v>8169.1945996123413</v>
      </c>
      <c r="H86" s="31">
        <f t="shared" si="6"/>
        <v>5400.8000090010246</v>
      </c>
      <c r="I86" s="7"/>
      <c r="J86" s="7"/>
      <c r="K86" s="7"/>
      <c r="L86" s="7"/>
      <c r="M86" s="7"/>
    </row>
    <row r="87" spans="1:13" x14ac:dyDescent="0.2">
      <c r="A87">
        <f t="shared" si="7"/>
        <v>15</v>
      </c>
      <c r="B87"/>
      <c r="C87"/>
      <c r="D87" s="30">
        <f t="shared" si="3"/>
        <v>0.64186194739671765</v>
      </c>
      <c r="E87" s="34">
        <f t="shared" si="4"/>
        <v>0</v>
      </c>
      <c r="F87" s="30">
        <f t="shared" si="8"/>
        <v>0.92791687675916557</v>
      </c>
      <c r="G87" s="31">
        <f t="shared" si="5"/>
        <v>8128.5518404102904</v>
      </c>
      <c r="H87" s="31">
        <f t="shared" si="6"/>
        <v>5217.4081138009224</v>
      </c>
      <c r="I87" s="7"/>
      <c r="J87" s="7"/>
      <c r="K87" s="7"/>
      <c r="L87" s="7"/>
      <c r="M87" s="7"/>
    </row>
    <row r="88" spans="1:13" x14ac:dyDescent="0.2">
      <c r="A88">
        <f t="shared" si="7"/>
        <v>16</v>
      </c>
      <c r="B88"/>
      <c r="C88"/>
      <c r="D88" s="30">
        <f t="shared" si="3"/>
        <v>0.62316693922011435</v>
      </c>
      <c r="E88" s="34">
        <f t="shared" si="4"/>
        <v>0</v>
      </c>
      <c r="F88" s="30">
        <f t="shared" si="8"/>
        <v>0.92330037488474193</v>
      </c>
      <c r="G88" s="31">
        <f t="shared" si="5"/>
        <v>8088.111283990339</v>
      </c>
      <c r="H88" s="31">
        <f t="shared" si="6"/>
        <v>5040.2435529159284</v>
      </c>
      <c r="I88" s="7"/>
      <c r="J88" s="7"/>
      <c r="K88" s="7"/>
      <c r="L88" s="7"/>
      <c r="M88" s="7"/>
    </row>
    <row r="89" spans="1:13" x14ac:dyDescent="0.2">
      <c r="A89">
        <f t="shared" si="7"/>
        <v>17</v>
      </c>
      <c r="B89"/>
      <c r="C89"/>
      <c r="D89" s="30">
        <f t="shared" si="3"/>
        <v>0.60501644584477121</v>
      </c>
      <c r="E89" s="34">
        <f t="shared" si="4"/>
        <v>0</v>
      </c>
      <c r="F89" s="30">
        <f t="shared" si="8"/>
        <v>0.91870684068133535</v>
      </c>
      <c r="G89" s="31">
        <f t="shared" si="5"/>
        <v>8047.8719243684973</v>
      </c>
      <c r="H89" s="31">
        <f t="shared" si="6"/>
        <v>4869.0948682953476</v>
      </c>
      <c r="I89" s="7"/>
      <c r="J89" s="7"/>
      <c r="K89" s="7"/>
      <c r="L89" s="7"/>
      <c r="M89" s="7"/>
    </row>
    <row r="90" spans="1:13" x14ac:dyDescent="0.2">
      <c r="A90">
        <f t="shared" si="7"/>
        <v>18</v>
      </c>
      <c r="B90"/>
      <c r="C90"/>
      <c r="D90" s="30">
        <f t="shared" si="3"/>
        <v>0.5873946076162827</v>
      </c>
      <c r="E90" s="34">
        <f t="shared" si="4"/>
        <v>0</v>
      </c>
      <c r="F90" s="30">
        <f t="shared" si="8"/>
        <v>0.91413615988192587</v>
      </c>
      <c r="G90" s="31">
        <f t="shared" si="5"/>
        <v>8007.8327605656705</v>
      </c>
      <c r="H90" s="31">
        <f t="shared" si="6"/>
        <v>4703.7577822492858</v>
      </c>
      <c r="I90" s="7"/>
      <c r="J90" s="7"/>
      <c r="K90" s="7"/>
      <c r="L90" s="7"/>
      <c r="M90" s="7"/>
    </row>
    <row r="91" spans="1:13" x14ac:dyDescent="0.2">
      <c r="A91">
        <f t="shared" si="7"/>
        <v>19</v>
      </c>
      <c r="B91"/>
      <c r="C91"/>
      <c r="D91" s="30">
        <f t="shared" si="3"/>
        <v>0.57028602681192497</v>
      </c>
      <c r="E91" s="34">
        <f t="shared" si="4"/>
        <v>0</v>
      </c>
      <c r="F91" s="30">
        <f t="shared" si="8"/>
        <v>0.90958821878798601</v>
      </c>
      <c r="G91" s="31">
        <f t="shared" si="5"/>
        <v>7967.9927965827574</v>
      </c>
      <c r="H91" s="31">
        <f t="shared" si="6"/>
        <v>4544.0349536292197</v>
      </c>
      <c r="I91" s="7"/>
      <c r="J91" s="7"/>
      <c r="K91" s="7"/>
      <c r="L91" s="7"/>
      <c r="M91" s="7"/>
    </row>
    <row r="92" spans="1:13" x14ac:dyDescent="0.2">
      <c r="A92">
        <f t="shared" si="7"/>
        <v>20</v>
      </c>
      <c r="B92"/>
      <c r="C92" s="35">
        <f>inverter_cost/(1+inverter_cost_decline_rate)^A92</f>
        <v>0.13459426662161156</v>
      </c>
      <c r="D92" s="30">
        <f t="shared" si="3"/>
        <v>0.55367575418633497</v>
      </c>
      <c r="E92" s="34">
        <f t="shared" si="4"/>
        <v>7.4521582080877433E-2</v>
      </c>
      <c r="F92" s="30">
        <f t="shared" si="8"/>
        <v>0.90506290426665281</v>
      </c>
      <c r="G92" s="31">
        <f t="shared" si="5"/>
        <v>7928.3510413758786</v>
      </c>
      <c r="H92" s="31">
        <f t="shared" si="6"/>
        <v>4389.735742287804</v>
      </c>
      <c r="I92" s="7"/>
      <c r="J92" s="7"/>
      <c r="K92" s="7"/>
      <c r="L92" s="7"/>
      <c r="M92" s="7"/>
    </row>
    <row r="93" spans="1:13" x14ac:dyDescent="0.2">
      <c r="A93">
        <f t="shared" si="7"/>
        <v>21</v>
      </c>
      <c r="B93"/>
      <c r="C93"/>
      <c r="D93" s="30">
        <f t="shared" si="3"/>
        <v>0.5375492759090631</v>
      </c>
      <c r="E93" s="34">
        <f t="shared" si="4"/>
        <v>0</v>
      </c>
      <c r="F93" s="30">
        <f t="shared" si="8"/>
        <v>0.90056010374791329</v>
      </c>
      <c r="G93" s="31">
        <f t="shared" si="5"/>
        <v>7888.9065088317202</v>
      </c>
      <c r="H93" s="31">
        <f t="shared" si="6"/>
        <v>4240.6759815367868</v>
      </c>
      <c r="I93" s="7"/>
      <c r="J93" s="7"/>
      <c r="K93" s="7"/>
      <c r="L93" s="7"/>
      <c r="M93" s="7"/>
    </row>
    <row r="94" spans="1:13" x14ac:dyDescent="0.2">
      <c r="A94">
        <f t="shared" si="7"/>
        <v>22</v>
      </c>
      <c r="B94"/>
      <c r="C94"/>
      <c r="D94" s="30">
        <f t="shared" si="3"/>
        <v>0.52189250088258554</v>
      </c>
      <c r="E94" s="34">
        <f t="shared" si="4"/>
        <v>0</v>
      </c>
      <c r="F94" s="30">
        <f t="shared" si="8"/>
        <v>0.89607970522180436</v>
      </c>
      <c r="G94" s="31">
        <f t="shared" si="5"/>
        <v>7849.6582177430064</v>
      </c>
      <c r="H94" s="31">
        <f t="shared" si="6"/>
        <v>4096.677758331437</v>
      </c>
      <c r="I94" s="7"/>
      <c r="J94" s="7"/>
      <c r="K94" s="7"/>
      <c r="L94" s="7"/>
      <c r="M94" s="7"/>
    </row>
    <row r="95" spans="1:13" x14ac:dyDescent="0.2">
      <c r="A95">
        <f t="shared" si="7"/>
        <v>23</v>
      </c>
      <c r="B95"/>
      <c r="C95"/>
      <c r="D95" s="30">
        <f t="shared" si="3"/>
        <v>0.50669174842969467</v>
      </c>
      <c r="E95" s="34">
        <f t="shared" si="4"/>
        <v>0</v>
      </c>
      <c r="F95" s="30">
        <f t="shared" si="8"/>
        <v>0.89162159723562628</v>
      </c>
      <c r="G95" s="31">
        <f t="shared" si="5"/>
        <v>7810.6051917840859</v>
      </c>
      <c r="H95" s="31">
        <f t="shared" si="6"/>
        <v>3957.5692009191289</v>
      </c>
      <c r="I95" s="7"/>
      <c r="J95" s="7"/>
      <c r="K95" s="7"/>
      <c r="L95" s="7"/>
      <c r="M95" s="7"/>
    </row>
    <row r="96" spans="1:13" x14ac:dyDescent="0.2">
      <c r="A96">
        <f t="shared" si="7"/>
        <v>24</v>
      </c>
      <c r="B96"/>
      <c r="C96"/>
      <c r="D96" s="30">
        <f t="shared" si="3"/>
        <v>0.49193373633950943</v>
      </c>
      <c r="E96" s="34">
        <f t="shared" si="4"/>
        <v>0</v>
      </c>
      <c r="F96" s="30">
        <f t="shared" si="8"/>
        <v>0.88718566889117056</v>
      </c>
      <c r="G96" s="31">
        <f t="shared" si="5"/>
        <v>7771.7464594866542</v>
      </c>
      <c r="H96" s="31">
        <f t="shared" si="6"/>
        <v>3823.1842736986237</v>
      </c>
      <c r="I96" s="7"/>
      <c r="J96" s="7"/>
      <c r="K96" s="7"/>
      <c r="L96" s="7"/>
      <c r="M96" s="7"/>
    </row>
    <row r="97" spans="1:13" x14ac:dyDescent="0.2">
      <c r="A97">
        <f t="shared" si="7"/>
        <v>25</v>
      </c>
      <c r="B97"/>
      <c r="C97"/>
      <c r="D97" s="30">
        <f t="shared" si="3"/>
        <v>0.47760556926165965</v>
      </c>
      <c r="E97" s="34">
        <f t="shared" si="4"/>
        <v>0</v>
      </c>
      <c r="F97" s="30">
        <f t="shared" si="8"/>
        <v>0.88277180984196091</v>
      </c>
      <c r="G97" s="31">
        <f t="shared" si="5"/>
        <v>7733.0810542155778</v>
      </c>
      <c r="H97" s="31">
        <f t="shared" si="6"/>
        <v>3693.3625790451861</v>
      </c>
      <c r="I97" s="7"/>
      <c r="J97" s="7"/>
      <c r="K97" s="7"/>
      <c r="L97" s="7"/>
      <c r="M97" s="7"/>
    </row>
    <row r="98" spans="1:13" x14ac:dyDescent="0.2">
      <c r="A98">
        <f t="shared" si="7"/>
        <v>26</v>
      </c>
      <c r="B98"/>
      <c r="C98"/>
      <c r="D98" s="30">
        <f t="shared" si="3"/>
        <v>0.46369472743850448</v>
      </c>
      <c r="E98" s="34">
        <f t="shared" si="4"/>
        <v>0</v>
      </c>
      <c r="F98" s="30">
        <f t="shared" si="8"/>
        <v>0.87837991029050844</v>
      </c>
      <c r="G98" s="31">
        <f t="shared" si="5"/>
        <v>7694.6080141448538</v>
      </c>
      <c r="H98" s="31">
        <f t="shared" si="6"/>
        <v>3567.94916586503</v>
      </c>
      <c r="I98" s="7"/>
      <c r="J98" s="7"/>
      <c r="K98" s="7"/>
      <c r="L98" s="7"/>
      <c r="M98" s="7"/>
    </row>
    <row r="99" spans="1:13" x14ac:dyDescent="0.2">
      <c r="A99">
        <f t="shared" si="7"/>
        <v>27</v>
      </c>
      <c r="B99"/>
      <c r="C99"/>
      <c r="D99" s="30">
        <f t="shared" si="3"/>
        <v>0.45018905576553836</v>
      </c>
      <c r="E99" s="34">
        <f t="shared" si="4"/>
        <v>0</v>
      </c>
      <c r="F99" s="30">
        <f t="shared" si="8"/>
        <v>0.87400986098558064</v>
      </c>
      <c r="G99" s="31">
        <f t="shared" si="5"/>
        <v>7656.3263822336867</v>
      </c>
      <c r="H99" s="31">
        <f t="shared" si="6"/>
        <v>3446.7943446505637</v>
      </c>
      <c r="I99" s="7"/>
      <c r="J99" s="7"/>
      <c r="K99" s="7"/>
      <c r="L99" s="7"/>
      <c r="M99" s="7"/>
    </row>
    <row r="100" spans="1:13" x14ac:dyDescent="0.2">
      <c r="A100">
        <f t="shared" si="7"/>
        <v>28</v>
      </c>
      <c r="B100"/>
      <c r="C100"/>
      <c r="D100" s="30">
        <f t="shared" si="3"/>
        <v>0.4370767531704256</v>
      </c>
      <c r="E100" s="34">
        <f t="shared" si="4"/>
        <v>0</v>
      </c>
      <c r="F100" s="30">
        <f t="shared" si="8"/>
        <v>0.86966155321948335</v>
      </c>
      <c r="G100" s="31">
        <f t="shared" si="5"/>
        <v>7618.2352062026739</v>
      </c>
      <c r="H100" s="31">
        <f t="shared" si="6"/>
        <v>3329.7535088156924</v>
      </c>
      <c r="I100" s="7"/>
      <c r="J100" s="7"/>
      <c r="K100" s="7"/>
      <c r="L100" s="7"/>
      <c r="M100" s="7"/>
    </row>
    <row r="101" spans="1:13" x14ac:dyDescent="0.2">
      <c r="A101">
        <f t="shared" si="7"/>
        <v>29</v>
      </c>
      <c r="B101"/>
      <c r="C101"/>
      <c r="D101" s="30">
        <f t="shared" si="3"/>
        <v>0.42434636230138412</v>
      </c>
      <c r="E101" s="34">
        <f t="shared" si="4"/>
        <v>0</v>
      </c>
      <c r="F101" s="30">
        <f t="shared" si="8"/>
        <v>0.86533487882535665</v>
      </c>
      <c r="G101" s="31">
        <f t="shared" si="5"/>
        <v>7580.3335385101245</v>
      </c>
      <c r="H101" s="31">
        <f t="shared" si="6"/>
        <v>3216.6869620979505</v>
      </c>
      <c r="I101" s="7"/>
      <c r="J101" s="7"/>
      <c r="K101" s="7"/>
      <c r="L101" s="7"/>
      <c r="M101" s="7"/>
    </row>
  </sheetData>
  <pageMargins left="0.7" right="0.7" top="0.75" bottom="0.75" header="0.3" footer="0.3"/>
  <pageSetup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K29"/>
  <sheetViews>
    <sheetView zoomScalePageLayoutView="200" workbookViewId="0">
      <selection activeCell="I19" sqref="I19"/>
    </sheetView>
  </sheetViews>
  <sheetFormatPr baseColWidth="10" defaultColWidth="11.5" defaultRowHeight="15" x14ac:dyDescent="0.2"/>
  <sheetData>
    <row r="8" spans="2:5" x14ac:dyDescent="0.2">
      <c r="B8" s="1"/>
    </row>
    <row r="9" spans="2:5" x14ac:dyDescent="0.2">
      <c r="B9" s="1"/>
    </row>
    <row r="10" spans="2:5" x14ac:dyDescent="0.2">
      <c r="C10" s="1"/>
      <c r="D10" s="1"/>
    </row>
    <row r="11" spans="2:5" x14ac:dyDescent="0.2">
      <c r="C11" s="1"/>
    </row>
    <row r="15" spans="2:5" x14ac:dyDescent="0.2">
      <c r="E15" s="1"/>
    </row>
    <row r="16" spans="2:5" x14ac:dyDescent="0.2">
      <c r="B16" s="1"/>
    </row>
    <row r="17" spans="1:11" x14ac:dyDescent="0.2">
      <c r="B17" s="1"/>
    </row>
    <row r="18" spans="1:11" x14ac:dyDescent="0.2">
      <c r="B18" s="1"/>
    </row>
    <row r="19" spans="1:11" x14ac:dyDescent="0.2">
      <c r="B19" s="1"/>
    </row>
    <row r="20" spans="1:11" x14ac:dyDescent="0.2">
      <c r="B20" s="1"/>
    </row>
    <row r="21" spans="1:11" ht="72.75" customHeight="1" x14ac:dyDescent="0.2">
      <c r="B21" s="1"/>
    </row>
    <row r="22" spans="1:11" x14ac:dyDescent="0.2">
      <c r="A22" s="36" t="s">
        <v>118</v>
      </c>
    </row>
    <row r="23" spans="1:11" ht="30" x14ac:dyDescent="0.2">
      <c r="B23" s="51" t="s">
        <v>6</v>
      </c>
      <c r="C23" s="51" t="s">
        <v>8</v>
      </c>
      <c r="D23" s="51" t="s">
        <v>19</v>
      </c>
      <c r="E23" s="51" t="s">
        <v>20</v>
      </c>
    </row>
    <row r="24" spans="1:11" x14ac:dyDescent="0.2">
      <c r="A24" t="s">
        <v>12</v>
      </c>
      <c r="B24" s="10">
        <f>Results!G20</f>
        <v>144.89741945511872</v>
      </c>
      <c r="C24" s="10">
        <f>Results!G22</f>
        <v>44.469464399921179</v>
      </c>
      <c r="D24" s="10">
        <f>Results!G21</f>
        <v>-34.745618898586876</v>
      </c>
      <c r="E24" s="10">
        <f>Results!G19</f>
        <v>-72.503213365697817</v>
      </c>
      <c r="H24" s="1"/>
      <c r="I24" s="1"/>
      <c r="J24" s="1"/>
      <c r="K24" s="1"/>
    </row>
    <row r="25" spans="1:11" x14ac:dyDescent="0.2">
      <c r="A25" t="s">
        <v>4</v>
      </c>
      <c r="B25" s="10">
        <f>Results!G4</f>
        <v>121.57105755790295</v>
      </c>
      <c r="C25" s="10">
        <f>Results!G6</f>
        <v>103.62422679537396</v>
      </c>
      <c r="D25" s="10">
        <f>Results!G5</f>
        <v>-22.506599377310366</v>
      </c>
      <c r="E25" s="10">
        <f>Results!G3</f>
        <v>-67.526385918765143</v>
      </c>
      <c r="H25" s="1"/>
      <c r="I25" s="1"/>
      <c r="J25" s="1"/>
      <c r="K25" s="1"/>
    </row>
    <row r="26" spans="1:11" x14ac:dyDescent="0.2">
      <c r="A26" t="s">
        <v>10</v>
      </c>
      <c r="B26" s="10">
        <f>Results!G12</f>
        <v>114.66762806102771</v>
      </c>
      <c r="C26" s="10">
        <f>Results!G14</f>
        <v>39.118205340492906</v>
      </c>
      <c r="D26" s="10">
        <f>Results!G13</f>
        <v>-43.995716155826017</v>
      </c>
      <c r="E26" s="10">
        <f>Results!G11</f>
        <v>-78.178101873121093</v>
      </c>
      <c r="H26" s="1"/>
      <c r="I26" s="1"/>
      <c r="J26" s="1"/>
      <c r="K26" s="1"/>
    </row>
    <row r="27" spans="1:11" x14ac:dyDescent="0.2">
      <c r="A27" t="s">
        <v>13</v>
      </c>
      <c r="B27" s="10">
        <f>Results!G24</f>
        <v>96.09887802196576</v>
      </c>
      <c r="C27" s="10">
        <f>Results!G26</f>
        <v>33.051604386701619</v>
      </c>
      <c r="D27" s="10">
        <f>Results!G25</f>
        <v>-25.201607333420942</v>
      </c>
      <c r="E27" s="10">
        <f>Results!G23</f>
        <v>-50.753249316379524</v>
      </c>
      <c r="H27" s="1"/>
      <c r="I27" s="1"/>
      <c r="J27" s="1"/>
      <c r="K27" s="1"/>
    </row>
    <row r="28" spans="1:11" x14ac:dyDescent="0.2">
      <c r="A28" t="s">
        <v>9</v>
      </c>
      <c r="B28" s="10">
        <f>Results!G8</f>
        <v>78.635460308416498</v>
      </c>
      <c r="C28" s="10">
        <f>Results!G10</f>
        <v>21.777483901563844</v>
      </c>
      <c r="D28" s="10">
        <f>Results!G9</f>
        <v>-8.3333440322560097</v>
      </c>
      <c r="E28" s="10">
        <f>Results!G7</f>
        <v>-47.911764697060761</v>
      </c>
      <c r="H28" s="1"/>
      <c r="I28" s="1"/>
      <c r="J28" s="1"/>
      <c r="K28" s="1"/>
    </row>
    <row r="29" spans="1:11" x14ac:dyDescent="0.2">
      <c r="A29" t="s">
        <v>11</v>
      </c>
      <c r="B29" s="10">
        <f>Results!G16</f>
        <v>70.901958824237241</v>
      </c>
      <c r="C29" s="10">
        <f>Results!G18</f>
        <v>31.597490118983497</v>
      </c>
      <c r="D29" s="10">
        <f>Results!G17</f>
        <v>-13.856284165258597</v>
      </c>
      <c r="E29" s="10">
        <f>Results!G15</f>
        <v>-38.606618086385083</v>
      </c>
      <c r="H29" s="1"/>
      <c r="I29" s="1"/>
      <c r="J29" s="1"/>
      <c r="K29" s="1"/>
    </row>
  </sheetData>
  <pageMargins left="0.75" right="0.75" top="1" bottom="1" header="0.5" footer="0.5"/>
  <pageSetup orientation="portrait" horizontalDpi="4294967292" verticalDpi="429496729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Readme</vt:lpstr>
      <vt:lpstr>Inputs</vt:lpstr>
      <vt:lpstr>Results</vt:lpstr>
      <vt:lpstr>Graph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Gavin</dc:creator>
  <cp:lastModifiedBy>Meredith Fowlie</cp:lastModifiedBy>
  <dcterms:created xsi:type="dcterms:W3CDTF">2014-12-14T22:12:23Z</dcterms:created>
  <dcterms:modified xsi:type="dcterms:W3CDTF">2017-07-18T14:51:37Z</dcterms:modified>
</cp:coreProperties>
</file>